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330"/>
  </bookViews>
  <sheets>
    <sheet name="меню" sheetId="1" r:id="rId1"/>
    <sheet name="Лист2" sheetId="2" r:id="rId2"/>
    <sheet name="титул" sheetId="3" r:id="rId3"/>
  </sheets>
  <calcPr calcId="162913"/>
</workbook>
</file>

<file path=xl/calcChain.xml><?xml version="1.0" encoding="utf-8"?>
<calcChain xmlns="http://schemas.openxmlformats.org/spreadsheetml/2006/main">
  <c r="R350" i="1"/>
  <c r="R307"/>
  <c r="R303"/>
  <c r="R263"/>
  <c r="K263"/>
  <c r="E263"/>
  <c r="M263" s="1"/>
  <c r="E265"/>
  <c r="N265" s="1"/>
  <c r="R265"/>
  <c r="R250"/>
  <c r="R238"/>
  <c r="R228"/>
  <c r="R217"/>
  <c r="R158"/>
  <c r="R142"/>
  <c r="R94"/>
  <c r="R90"/>
  <c r="R108"/>
  <c r="R322"/>
  <c r="E322"/>
  <c r="O322" s="1"/>
  <c r="R291"/>
  <c r="E291"/>
  <c r="P291" s="1"/>
  <c r="L261"/>
  <c r="G261"/>
  <c r="D261"/>
  <c r="R260"/>
  <c r="P260"/>
  <c r="M260"/>
  <c r="I260"/>
  <c r="H260"/>
  <c r="R259"/>
  <c r="P259"/>
  <c r="O259"/>
  <c r="O261" s="1"/>
  <c r="N259"/>
  <c r="N261" s="1"/>
  <c r="M259"/>
  <c r="K259"/>
  <c r="K261" s="1"/>
  <c r="J259"/>
  <c r="J261" s="1"/>
  <c r="I259"/>
  <c r="H259"/>
  <c r="F259"/>
  <c r="F261" s="1"/>
  <c r="E238"/>
  <c r="G238" s="1"/>
  <c r="R205"/>
  <c r="E205"/>
  <c r="O205" s="1"/>
  <c r="R172"/>
  <c r="E172"/>
  <c r="O172" s="1"/>
  <c r="E108"/>
  <c r="I108" s="1"/>
  <c r="R78"/>
  <c r="O52"/>
  <c r="N52"/>
  <c r="L52"/>
  <c r="K52"/>
  <c r="J52"/>
  <c r="G52"/>
  <c r="F52"/>
  <c r="D52"/>
  <c r="C52"/>
  <c r="R51"/>
  <c r="P51"/>
  <c r="P52" s="1"/>
  <c r="M51"/>
  <c r="M52" s="1"/>
  <c r="I51"/>
  <c r="I52" s="1"/>
  <c r="H51"/>
  <c r="H52" s="1"/>
  <c r="R50"/>
  <c r="E50"/>
  <c r="M50" s="1"/>
  <c r="L76"/>
  <c r="G76"/>
  <c r="D76"/>
  <c r="R75"/>
  <c r="P75"/>
  <c r="M75"/>
  <c r="I75"/>
  <c r="H75"/>
  <c r="R74"/>
  <c r="P74"/>
  <c r="O74"/>
  <c r="O76" s="1"/>
  <c r="N74"/>
  <c r="N76" s="1"/>
  <c r="M74"/>
  <c r="K74"/>
  <c r="K76" s="1"/>
  <c r="J74"/>
  <c r="J76" s="1"/>
  <c r="I74"/>
  <c r="H74"/>
  <c r="F74"/>
  <c r="F76" s="1"/>
  <c r="R54"/>
  <c r="R42"/>
  <c r="R33"/>
  <c r="R21"/>
  <c r="R352"/>
  <c r="E352"/>
  <c r="E350"/>
  <c r="H350" s="1"/>
  <c r="R348"/>
  <c r="E348"/>
  <c r="M348" s="1"/>
  <c r="R346"/>
  <c r="E346"/>
  <c r="N346" s="1"/>
  <c r="R344"/>
  <c r="P344"/>
  <c r="O344"/>
  <c r="N344"/>
  <c r="M344"/>
  <c r="J344"/>
  <c r="I344"/>
  <c r="H344"/>
  <c r="G344"/>
  <c r="F344"/>
  <c r="D342"/>
  <c r="R341"/>
  <c r="E341"/>
  <c r="N341" s="1"/>
  <c r="R340"/>
  <c r="E340"/>
  <c r="I340" s="1"/>
  <c r="R339"/>
  <c r="E339"/>
  <c r="P339" s="1"/>
  <c r="K337"/>
  <c r="R336"/>
  <c r="E336"/>
  <c r="M336" s="1"/>
  <c r="R335"/>
  <c r="E335"/>
  <c r="P335" s="1"/>
  <c r="R334"/>
  <c r="E334"/>
  <c r="O334" s="1"/>
  <c r="F263" l="1"/>
  <c r="G263"/>
  <c r="L263"/>
  <c r="N263"/>
  <c r="P263"/>
  <c r="H263"/>
  <c r="H261"/>
  <c r="R261"/>
  <c r="J263"/>
  <c r="O263"/>
  <c r="H265"/>
  <c r="I265"/>
  <c r="M265"/>
  <c r="I263"/>
  <c r="G265"/>
  <c r="K265"/>
  <c r="P265"/>
  <c r="F265"/>
  <c r="J265"/>
  <c r="O265"/>
  <c r="K322"/>
  <c r="I322"/>
  <c r="P322"/>
  <c r="H322"/>
  <c r="N322"/>
  <c r="F322"/>
  <c r="M322"/>
  <c r="J322"/>
  <c r="O291"/>
  <c r="J291"/>
  <c r="M261"/>
  <c r="F291"/>
  <c r="I291"/>
  <c r="N291"/>
  <c r="H291"/>
  <c r="M291"/>
  <c r="G291"/>
  <c r="K291"/>
  <c r="P261"/>
  <c r="P348"/>
  <c r="F238"/>
  <c r="I261"/>
  <c r="I238"/>
  <c r="H238"/>
  <c r="K205"/>
  <c r="I205"/>
  <c r="P205"/>
  <c r="H205"/>
  <c r="N205"/>
  <c r="F205"/>
  <c r="M205"/>
  <c r="J205"/>
  <c r="I172"/>
  <c r="N172"/>
  <c r="H172"/>
  <c r="M172"/>
  <c r="G172"/>
  <c r="K172"/>
  <c r="P172"/>
  <c r="F172"/>
  <c r="J172"/>
  <c r="K348"/>
  <c r="R76"/>
  <c r="H108"/>
  <c r="R342"/>
  <c r="G348"/>
  <c r="G108"/>
  <c r="J339"/>
  <c r="F348"/>
  <c r="F108"/>
  <c r="R52"/>
  <c r="L336"/>
  <c r="L337" s="1"/>
  <c r="G350"/>
  <c r="P76"/>
  <c r="M76"/>
  <c r="R337"/>
  <c r="R353" s="1"/>
  <c r="F336"/>
  <c r="L348"/>
  <c r="F350"/>
  <c r="I76"/>
  <c r="H50"/>
  <c r="L50"/>
  <c r="P50"/>
  <c r="G50"/>
  <c r="K50"/>
  <c r="O50"/>
  <c r="F50"/>
  <c r="J50"/>
  <c r="N50"/>
  <c r="I50"/>
  <c r="J341"/>
  <c r="P341"/>
  <c r="N334"/>
  <c r="G339"/>
  <c r="O339"/>
  <c r="H341"/>
  <c r="O341"/>
  <c r="J348"/>
  <c r="O348"/>
  <c r="J334"/>
  <c r="P336"/>
  <c r="P337" s="1"/>
  <c r="F339"/>
  <c r="N339"/>
  <c r="N342" s="1"/>
  <c r="H340"/>
  <c r="G341"/>
  <c r="M341"/>
  <c r="H348"/>
  <c r="N348"/>
  <c r="H76"/>
  <c r="F334"/>
  <c r="K339"/>
  <c r="K342" s="1"/>
  <c r="F341"/>
  <c r="L341"/>
  <c r="I335"/>
  <c r="I346"/>
  <c r="M346"/>
  <c r="N335"/>
  <c r="I336"/>
  <c r="P340"/>
  <c r="L346"/>
  <c r="H336"/>
  <c r="N336"/>
  <c r="I339"/>
  <c r="M339"/>
  <c r="M340"/>
  <c r="G346"/>
  <c r="K346"/>
  <c r="O346"/>
  <c r="I350"/>
  <c r="O335"/>
  <c r="I334"/>
  <c r="M334"/>
  <c r="H335"/>
  <c r="H337" s="1"/>
  <c r="O336"/>
  <c r="H346"/>
  <c r="P346"/>
  <c r="H334"/>
  <c r="L334"/>
  <c r="P334"/>
  <c r="G335"/>
  <c r="M335"/>
  <c r="M337" s="1"/>
  <c r="G334"/>
  <c r="K334"/>
  <c r="F335"/>
  <c r="J335"/>
  <c r="J337" s="1"/>
  <c r="G336"/>
  <c r="H339"/>
  <c r="L339"/>
  <c r="I341"/>
  <c r="F346"/>
  <c r="J346"/>
  <c r="I348"/>
  <c r="H342" l="1"/>
  <c r="P342"/>
  <c r="M342"/>
  <c r="J342"/>
  <c r="G337"/>
  <c r="N337"/>
  <c r="F337"/>
  <c r="L342"/>
  <c r="I342"/>
  <c r="F342"/>
  <c r="G342"/>
  <c r="O342"/>
  <c r="O337"/>
  <c r="I337"/>
  <c r="R293" l="1"/>
  <c r="E293"/>
  <c r="L289"/>
  <c r="G289"/>
  <c r="D289"/>
  <c r="R288"/>
  <c r="P288"/>
  <c r="M288"/>
  <c r="I288"/>
  <c r="H288"/>
  <c r="R287"/>
  <c r="P287"/>
  <c r="O287"/>
  <c r="O289" s="1"/>
  <c r="N287"/>
  <c r="N289" s="1"/>
  <c r="M287"/>
  <c r="K287"/>
  <c r="K289" s="1"/>
  <c r="J287"/>
  <c r="J289" s="1"/>
  <c r="I287"/>
  <c r="H287"/>
  <c r="F287"/>
  <c r="F289" s="1"/>
  <c r="R285"/>
  <c r="P285"/>
  <c r="O285"/>
  <c r="N285"/>
  <c r="M285"/>
  <c r="J285"/>
  <c r="I285"/>
  <c r="H285"/>
  <c r="G285"/>
  <c r="F285"/>
  <c r="C283"/>
  <c r="R282"/>
  <c r="E282"/>
  <c r="O282" s="1"/>
  <c r="R281"/>
  <c r="D281"/>
  <c r="D283" s="1"/>
  <c r="H279"/>
  <c r="D279"/>
  <c r="C279"/>
  <c r="R278"/>
  <c r="E278"/>
  <c r="G278" s="1"/>
  <c r="R277"/>
  <c r="D277"/>
  <c r="E277" s="1"/>
  <c r="R267"/>
  <c r="E267"/>
  <c r="R257"/>
  <c r="P257"/>
  <c r="O257"/>
  <c r="N257"/>
  <c r="M257"/>
  <c r="J257"/>
  <c r="I257"/>
  <c r="H257"/>
  <c r="G257"/>
  <c r="F257"/>
  <c r="K255"/>
  <c r="C255"/>
  <c r="R254"/>
  <c r="R255" s="1"/>
  <c r="D254"/>
  <c r="E254" s="1"/>
  <c r="K252"/>
  <c r="D252"/>
  <c r="C252"/>
  <c r="R251"/>
  <c r="E251"/>
  <c r="O251" s="1"/>
  <c r="E250"/>
  <c r="O250" s="1"/>
  <c r="R207"/>
  <c r="E207"/>
  <c r="R203"/>
  <c r="E203"/>
  <c r="M203" s="1"/>
  <c r="O201"/>
  <c r="N201"/>
  <c r="L201"/>
  <c r="K201"/>
  <c r="J201"/>
  <c r="G201"/>
  <c r="F201"/>
  <c r="D201"/>
  <c r="R200"/>
  <c r="P200"/>
  <c r="P201" s="1"/>
  <c r="M200"/>
  <c r="M201" s="1"/>
  <c r="I200"/>
  <c r="I201" s="1"/>
  <c r="H200"/>
  <c r="H201" s="1"/>
  <c r="R199"/>
  <c r="E199"/>
  <c r="M199" s="1"/>
  <c r="R197"/>
  <c r="P197"/>
  <c r="O197"/>
  <c r="N197"/>
  <c r="M197"/>
  <c r="J197"/>
  <c r="I197"/>
  <c r="H197"/>
  <c r="G197"/>
  <c r="F197"/>
  <c r="L195"/>
  <c r="C195"/>
  <c r="R194"/>
  <c r="E194"/>
  <c r="G194" s="1"/>
  <c r="R193"/>
  <c r="E193"/>
  <c r="I193" s="1"/>
  <c r="R192"/>
  <c r="D192"/>
  <c r="E192" s="1"/>
  <c r="R191"/>
  <c r="D191"/>
  <c r="E191" s="1"/>
  <c r="R190"/>
  <c r="D190"/>
  <c r="E190" s="1"/>
  <c r="C188"/>
  <c r="R187"/>
  <c r="E187"/>
  <c r="O187" s="1"/>
  <c r="R186"/>
  <c r="D186"/>
  <c r="E186" s="1"/>
  <c r="R185"/>
  <c r="D185"/>
  <c r="E185" s="1"/>
  <c r="R184"/>
  <c r="P184"/>
  <c r="O184"/>
  <c r="N184"/>
  <c r="M184"/>
  <c r="L184"/>
  <c r="J184"/>
  <c r="I184"/>
  <c r="H184"/>
  <c r="G184"/>
  <c r="F184"/>
  <c r="D184"/>
  <c r="R174"/>
  <c r="E174"/>
  <c r="L170"/>
  <c r="G170"/>
  <c r="D170"/>
  <c r="R169"/>
  <c r="P169"/>
  <c r="M169"/>
  <c r="I169"/>
  <c r="H169"/>
  <c r="R168"/>
  <c r="P168"/>
  <c r="O168"/>
  <c r="O170" s="1"/>
  <c r="N168"/>
  <c r="N170" s="1"/>
  <c r="M168"/>
  <c r="K168"/>
  <c r="K170" s="1"/>
  <c r="J168"/>
  <c r="J170" s="1"/>
  <c r="I168"/>
  <c r="H168"/>
  <c r="F168"/>
  <c r="F170" s="1"/>
  <c r="R166"/>
  <c r="P166"/>
  <c r="O166"/>
  <c r="N166"/>
  <c r="M166"/>
  <c r="J166"/>
  <c r="I166"/>
  <c r="H166"/>
  <c r="G166"/>
  <c r="F166"/>
  <c r="L164"/>
  <c r="C164"/>
  <c r="R163"/>
  <c r="E163"/>
  <c r="J163" s="1"/>
  <c r="R162"/>
  <c r="M162"/>
  <c r="E162"/>
  <c r="H162" s="1"/>
  <c r="R161"/>
  <c r="E161"/>
  <c r="P161" s="1"/>
  <c r="R160"/>
  <c r="D160"/>
  <c r="E160" s="1"/>
  <c r="R159"/>
  <c r="E159"/>
  <c r="O159" s="1"/>
  <c r="D158"/>
  <c r="E158" s="1"/>
  <c r="K156"/>
  <c r="C156"/>
  <c r="R155"/>
  <c r="E155"/>
  <c r="N155" s="1"/>
  <c r="R154"/>
  <c r="E154"/>
  <c r="M154" s="1"/>
  <c r="R240"/>
  <c r="E240"/>
  <c r="O236"/>
  <c r="N236"/>
  <c r="L236"/>
  <c r="K236"/>
  <c r="J236"/>
  <c r="G236"/>
  <c r="F236"/>
  <c r="D236"/>
  <c r="C236"/>
  <c r="R235"/>
  <c r="P235"/>
  <c r="P236" s="1"/>
  <c r="M235"/>
  <c r="M236" s="1"/>
  <c r="I235"/>
  <c r="I236" s="1"/>
  <c r="H235"/>
  <c r="H236" s="1"/>
  <c r="R234"/>
  <c r="E234"/>
  <c r="M234" s="1"/>
  <c r="R232"/>
  <c r="E232"/>
  <c r="N232" s="1"/>
  <c r="L230"/>
  <c r="C230"/>
  <c r="R229"/>
  <c r="J229"/>
  <c r="I229"/>
  <c r="G229"/>
  <c r="D228"/>
  <c r="E228" s="1"/>
  <c r="R227"/>
  <c r="E227"/>
  <c r="G227" s="1"/>
  <c r="R226"/>
  <c r="D226"/>
  <c r="E226" s="1"/>
  <c r="L224"/>
  <c r="C224"/>
  <c r="R223"/>
  <c r="E223"/>
  <c r="G223" s="1"/>
  <c r="R222"/>
  <c r="M222"/>
  <c r="E222"/>
  <c r="N222" s="1"/>
  <c r="R221"/>
  <c r="D221"/>
  <c r="E221" s="1"/>
  <c r="R220"/>
  <c r="E220"/>
  <c r="M220" s="1"/>
  <c r="R219"/>
  <c r="E219"/>
  <c r="M219" s="1"/>
  <c r="R218"/>
  <c r="D218"/>
  <c r="E218" s="1"/>
  <c r="D217"/>
  <c r="E120"/>
  <c r="H120" s="1"/>
  <c r="R120"/>
  <c r="E121"/>
  <c r="J121" s="1"/>
  <c r="R121"/>
  <c r="D122"/>
  <c r="R122"/>
  <c r="D123"/>
  <c r="E123" s="1"/>
  <c r="R123"/>
  <c r="D124"/>
  <c r="F124"/>
  <c r="G124"/>
  <c r="H124"/>
  <c r="I124"/>
  <c r="J124"/>
  <c r="L124"/>
  <c r="L125" s="1"/>
  <c r="M124"/>
  <c r="N124"/>
  <c r="O124"/>
  <c r="P124"/>
  <c r="R124"/>
  <c r="C125"/>
  <c r="D127"/>
  <c r="R127"/>
  <c r="D128"/>
  <c r="E128" s="1"/>
  <c r="R128"/>
  <c r="D129"/>
  <c r="E129" s="1"/>
  <c r="H129" s="1"/>
  <c r="R129"/>
  <c r="E130"/>
  <c r="J130" s="1"/>
  <c r="R130"/>
  <c r="E131"/>
  <c r="I131" s="1"/>
  <c r="R131"/>
  <c r="C132"/>
  <c r="L132"/>
  <c r="F134"/>
  <c r="G134"/>
  <c r="H134"/>
  <c r="I134"/>
  <c r="J134"/>
  <c r="M134"/>
  <c r="N134"/>
  <c r="O134"/>
  <c r="P134"/>
  <c r="R134"/>
  <c r="E136"/>
  <c r="H136" s="1"/>
  <c r="R136"/>
  <c r="H137"/>
  <c r="H138" s="1"/>
  <c r="I137"/>
  <c r="I138" s="1"/>
  <c r="M137"/>
  <c r="M138" s="1"/>
  <c r="P137"/>
  <c r="P138" s="1"/>
  <c r="R137"/>
  <c r="C138"/>
  <c r="D138"/>
  <c r="F138"/>
  <c r="G138"/>
  <c r="J138"/>
  <c r="K138"/>
  <c r="L138"/>
  <c r="N138"/>
  <c r="O138"/>
  <c r="E140"/>
  <c r="H140" s="1"/>
  <c r="R140"/>
  <c r="F142"/>
  <c r="G142"/>
  <c r="H142"/>
  <c r="I142"/>
  <c r="J142"/>
  <c r="K142"/>
  <c r="M142"/>
  <c r="N142"/>
  <c r="O142"/>
  <c r="P142"/>
  <c r="E144"/>
  <c r="R144"/>
  <c r="R80"/>
  <c r="E80"/>
  <c r="R72"/>
  <c r="P72"/>
  <c r="O72"/>
  <c r="N72"/>
  <c r="M72"/>
  <c r="J72"/>
  <c r="I72"/>
  <c r="H72"/>
  <c r="G72"/>
  <c r="F72"/>
  <c r="K70"/>
  <c r="C70"/>
  <c r="R69"/>
  <c r="R70" s="1"/>
  <c r="D69"/>
  <c r="E69" s="1"/>
  <c r="C67"/>
  <c r="R66"/>
  <c r="E66"/>
  <c r="N66" s="1"/>
  <c r="R65"/>
  <c r="D65"/>
  <c r="E65" s="1"/>
  <c r="R56"/>
  <c r="E56"/>
  <c r="E54"/>
  <c r="M54" s="1"/>
  <c r="R48"/>
  <c r="P48"/>
  <c r="O48"/>
  <c r="N48"/>
  <c r="M48"/>
  <c r="J48"/>
  <c r="I48"/>
  <c r="H48"/>
  <c r="G48"/>
  <c r="F48"/>
  <c r="L46"/>
  <c r="C46"/>
  <c r="R45"/>
  <c r="D45"/>
  <c r="E45" s="1"/>
  <c r="R44"/>
  <c r="E44"/>
  <c r="G44" s="1"/>
  <c r="R43"/>
  <c r="D43"/>
  <c r="E43" s="1"/>
  <c r="O43" s="1"/>
  <c r="D42"/>
  <c r="E42" s="1"/>
  <c r="P42" s="1"/>
  <c r="R41"/>
  <c r="D41"/>
  <c r="E41" s="1"/>
  <c r="M41" s="1"/>
  <c r="R40"/>
  <c r="M40"/>
  <c r="E40"/>
  <c r="N40" s="1"/>
  <c r="R39"/>
  <c r="D39"/>
  <c r="E39" s="1"/>
  <c r="M39" s="1"/>
  <c r="C37"/>
  <c r="R36"/>
  <c r="E36"/>
  <c r="P36" s="1"/>
  <c r="R35"/>
  <c r="D35"/>
  <c r="D37" s="1"/>
  <c r="R34"/>
  <c r="D34"/>
  <c r="E34" s="1"/>
  <c r="P34" s="1"/>
  <c r="D33"/>
  <c r="E33" s="1"/>
  <c r="R23"/>
  <c r="E23"/>
  <c r="E21"/>
  <c r="R19"/>
  <c r="E19"/>
  <c r="O19" s="1"/>
  <c r="L17"/>
  <c r="G17"/>
  <c r="D17"/>
  <c r="R16"/>
  <c r="P16"/>
  <c r="M16"/>
  <c r="I16"/>
  <c r="H16"/>
  <c r="R15"/>
  <c r="P15"/>
  <c r="O15"/>
  <c r="O17" s="1"/>
  <c r="N15"/>
  <c r="N17" s="1"/>
  <c r="M15"/>
  <c r="K15"/>
  <c r="K17" s="1"/>
  <c r="J15"/>
  <c r="J17" s="1"/>
  <c r="I15"/>
  <c r="H15"/>
  <c r="F15"/>
  <c r="F17" s="1"/>
  <c r="R13"/>
  <c r="E13"/>
  <c r="O13" s="1"/>
  <c r="K11"/>
  <c r="C11"/>
  <c r="R10"/>
  <c r="R11" s="1"/>
  <c r="D10"/>
  <c r="E10" s="1"/>
  <c r="K8"/>
  <c r="C8"/>
  <c r="R7"/>
  <c r="E7"/>
  <c r="O7" s="1"/>
  <c r="R6"/>
  <c r="E6"/>
  <c r="N6" s="1"/>
  <c r="F90"/>
  <c r="G90"/>
  <c r="H90"/>
  <c r="I90"/>
  <c r="J90"/>
  <c r="J92" s="1"/>
  <c r="M90"/>
  <c r="N90"/>
  <c r="O90"/>
  <c r="P90"/>
  <c r="E91"/>
  <c r="F91" s="1"/>
  <c r="R91"/>
  <c r="C92"/>
  <c r="D92"/>
  <c r="K92"/>
  <c r="D94"/>
  <c r="E94" s="1"/>
  <c r="E95"/>
  <c r="P95" s="1"/>
  <c r="R95"/>
  <c r="D96"/>
  <c r="E96" s="1"/>
  <c r="R96"/>
  <c r="E97"/>
  <c r="F97" s="1"/>
  <c r="R97"/>
  <c r="E98"/>
  <c r="F98" s="1"/>
  <c r="M98"/>
  <c r="R98"/>
  <c r="E99"/>
  <c r="G99" s="1"/>
  <c r="R99"/>
  <c r="C100"/>
  <c r="L100"/>
  <c r="F102"/>
  <c r="G102"/>
  <c r="H102"/>
  <c r="I102"/>
  <c r="J102"/>
  <c r="M102"/>
  <c r="N102"/>
  <c r="O102"/>
  <c r="P102"/>
  <c r="R102"/>
  <c r="E104"/>
  <c r="O104" s="1"/>
  <c r="R104"/>
  <c r="H105"/>
  <c r="H106" s="1"/>
  <c r="I105"/>
  <c r="I106" s="1"/>
  <c r="M105"/>
  <c r="M106" s="1"/>
  <c r="P105"/>
  <c r="P106" s="1"/>
  <c r="R105"/>
  <c r="C106"/>
  <c r="D106"/>
  <c r="F106"/>
  <c r="G106"/>
  <c r="J106"/>
  <c r="K106"/>
  <c r="L106"/>
  <c r="N106"/>
  <c r="O106"/>
  <c r="K199" l="1"/>
  <c r="F282"/>
  <c r="G219"/>
  <c r="O21"/>
  <c r="J21"/>
  <c r="F21"/>
  <c r="P21"/>
  <c r="K21"/>
  <c r="G21"/>
  <c r="M21"/>
  <c r="H21"/>
  <c r="N21"/>
  <c r="I21"/>
  <c r="N78"/>
  <c r="H78"/>
  <c r="O78"/>
  <c r="I78"/>
  <c r="P78"/>
  <c r="K78"/>
  <c r="M78"/>
  <c r="F78"/>
  <c r="I289"/>
  <c r="M289"/>
  <c r="P289"/>
  <c r="P250"/>
  <c r="H250"/>
  <c r="H289"/>
  <c r="R289"/>
  <c r="G234"/>
  <c r="R283"/>
  <c r="G187"/>
  <c r="R279"/>
  <c r="M282"/>
  <c r="R236"/>
  <c r="R170"/>
  <c r="P187"/>
  <c r="R201"/>
  <c r="G250"/>
  <c r="I278"/>
  <c r="H282"/>
  <c r="P282"/>
  <c r="J278"/>
  <c r="L282"/>
  <c r="L283" s="1"/>
  <c r="D67"/>
  <c r="O234"/>
  <c r="H187"/>
  <c r="P199"/>
  <c r="G282"/>
  <c r="N282"/>
  <c r="M277"/>
  <c r="M279" s="1"/>
  <c r="I277"/>
  <c r="O277"/>
  <c r="O279" s="1"/>
  <c r="L277"/>
  <c r="L279" s="1"/>
  <c r="G277"/>
  <c r="G279" s="1"/>
  <c r="N277"/>
  <c r="N279" s="1"/>
  <c r="J277"/>
  <c r="K277"/>
  <c r="K279" s="1"/>
  <c r="F277"/>
  <c r="F279" s="1"/>
  <c r="P277"/>
  <c r="P279" s="1"/>
  <c r="E281"/>
  <c r="I282"/>
  <c r="P154"/>
  <c r="L155"/>
  <c r="L156" s="1"/>
  <c r="F187"/>
  <c r="N187"/>
  <c r="F199"/>
  <c r="H203"/>
  <c r="F250"/>
  <c r="N250"/>
  <c r="G251"/>
  <c r="O203"/>
  <c r="K203"/>
  <c r="G155"/>
  <c r="M187"/>
  <c r="G193"/>
  <c r="G203"/>
  <c r="P203"/>
  <c r="M250"/>
  <c r="P254"/>
  <c r="P255" s="1"/>
  <c r="F254"/>
  <c r="F255" s="1"/>
  <c r="J254"/>
  <c r="J255" s="1"/>
  <c r="O254"/>
  <c r="O255" s="1"/>
  <c r="P192"/>
  <c r="J192"/>
  <c r="F192"/>
  <c r="O192"/>
  <c r="P170"/>
  <c r="J199"/>
  <c r="N251"/>
  <c r="J154"/>
  <c r="J156" s="1"/>
  <c r="F155"/>
  <c r="K162"/>
  <c r="I170"/>
  <c r="D188"/>
  <c r="L187"/>
  <c r="L188" s="1"/>
  <c r="H199"/>
  <c r="N199"/>
  <c r="L203"/>
  <c r="J250"/>
  <c r="J252" s="1"/>
  <c r="R252"/>
  <c r="R269" s="1"/>
  <c r="M251"/>
  <c r="O199"/>
  <c r="D255"/>
  <c r="E255" s="1"/>
  <c r="D224"/>
  <c r="F222"/>
  <c r="F162"/>
  <c r="R188"/>
  <c r="R195"/>
  <c r="G199"/>
  <c r="L199"/>
  <c r="H251"/>
  <c r="O252"/>
  <c r="I254"/>
  <c r="I255" s="1"/>
  <c r="N254"/>
  <c r="N255" s="1"/>
  <c r="I250"/>
  <c r="F251"/>
  <c r="L251"/>
  <c r="L252" s="1"/>
  <c r="P251"/>
  <c r="H254"/>
  <c r="H255" s="1"/>
  <c r="M254"/>
  <c r="M255" s="1"/>
  <c r="I251"/>
  <c r="G254"/>
  <c r="G255" s="1"/>
  <c r="L254"/>
  <c r="L255" s="1"/>
  <c r="M186"/>
  <c r="H186"/>
  <c r="J186"/>
  <c r="K186"/>
  <c r="N186"/>
  <c r="I186"/>
  <c r="O186"/>
  <c r="F186"/>
  <c r="P186"/>
  <c r="G186"/>
  <c r="N190"/>
  <c r="I190"/>
  <c r="H190"/>
  <c r="O190"/>
  <c r="J190"/>
  <c r="F190"/>
  <c r="E195"/>
  <c r="P190"/>
  <c r="K190"/>
  <c r="G190"/>
  <c r="M190"/>
  <c r="N185"/>
  <c r="I185"/>
  <c r="P185"/>
  <c r="F185"/>
  <c r="H185"/>
  <c r="O185"/>
  <c r="J185"/>
  <c r="E188"/>
  <c r="K185"/>
  <c r="M185"/>
  <c r="M191"/>
  <c r="H191"/>
  <c r="K191"/>
  <c r="N191"/>
  <c r="I191"/>
  <c r="O191"/>
  <c r="J191"/>
  <c r="F191"/>
  <c r="P191"/>
  <c r="G191"/>
  <c r="I192"/>
  <c r="N192"/>
  <c r="J194"/>
  <c r="I187"/>
  <c r="H192"/>
  <c r="M192"/>
  <c r="J193"/>
  <c r="I194"/>
  <c r="D195"/>
  <c r="I199"/>
  <c r="F203"/>
  <c r="J203"/>
  <c r="N203"/>
  <c r="G192"/>
  <c r="K192"/>
  <c r="I203"/>
  <c r="P159"/>
  <c r="N159"/>
  <c r="J136"/>
  <c r="I159"/>
  <c r="I136"/>
  <c r="R164"/>
  <c r="E35"/>
  <c r="I35" s="1"/>
  <c r="P155"/>
  <c r="H159"/>
  <c r="M170"/>
  <c r="E164"/>
  <c r="F158"/>
  <c r="M158"/>
  <c r="R125"/>
  <c r="P220"/>
  <c r="J223"/>
  <c r="K140"/>
  <c r="E217"/>
  <c r="O217" s="1"/>
  <c r="P219"/>
  <c r="J220"/>
  <c r="P222"/>
  <c r="I223"/>
  <c r="F154"/>
  <c r="M155"/>
  <c r="M156" s="1"/>
  <c r="F159"/>
  <c r="M159"/>
  <c r="P162"/>
  <c r="I163"/>
  <c r="H170"/>
  <c r="F66"/>
  <c r="J219"/>
  <c r="G220"/>
  <c r="R230"/>
  <c r="R156"/>
  <c r="R176" s="1"/>
  <c r="K159"/>
  <c r="G163"/>
  <c r="O160"/>
  <c r="J160"/>
  <c r="H160"/>
  <c r="I160"/>
  <c r="P160"/>
  <c r="K160"/>
  <c r="F160"/>
  <c r="M160"/>
  <c r="N160"/>
  <c r="O161"/>
  <c r="D164"/>
  <c r="I154"/>
  <c r="H161"/>
  <c r="J162"/>
  <c r="H154"/>
  <c r="N154"/>
  <c r="N156" s="1"/>
  <c r="I155"/>
  <c r="O155"/>
  <c r="I158"/>
  <c r="O158"/>
  <c r="G161"/>
  <c r="M161"/>
  <c r="I162"/>
  <c r="N162"/>
  <c r="I161"/>
  <c r="O154"/>
  <c r="J158"/>
  <c r="P158"/>
  <c r="N161"/>
  <c r="O162"/>
  <c r="G154"/>
  <c r="H155"/>
  <c r="G158"/>
  <c r="N158"/>
  <c r="J159"/>
  <c r="F161"/>
  <c r="J161"/>
  <c r="M221"/>
  <c r="P221"/>
  <c r="K221"/>
  <c r="F221"/>
  <c r="P228"/>
  <c r="F228"/>
  <c r="J228"/>
  <c r="O228"/>
  <c r="I123"/>
  <c r="F123"/>
  <c r="H123"/>
  <c r="O123"/>
  <c r="M123"/>
  <c r="M232"/>
  <c r="J232"/>
  <c r="L234"/>
  <c r="O136"/>
  <c r="R224"/>
  <c r="F219"/>
  <c r="O219"/>
  <c r="F220"/>
  <c r="O220"/>
  <c r="K222"/>
  <c r="J227"/>
  <c r="G232"/>
  <c r="K234"/>
  <c r="D125"/>
  <c r="K219"/>
  <c r="K220"/>
  <c r="H222"/>
  <c r="I227"/>
  <c r="F232"/>
  <c r="P232"/>
  <c r="H234"/>
  <c r="P234"/>
  <c r="M218"/>
  <c r="H218"/>
  <c r="J218"/>
  <c r="P218"/>
  <c r="K218"/>
  <c r="G218"/>
  <c r="N218"/>
  <c r="I218"/>
  <c r="O218"/>
  <c r="F218"/>
  <c r="E230"/>
  <c r="N226"/>
  <c r="I226"/>
  <c r="P226"/>
  <c r="M226"/>
  <c r="O226"/>
  <c r="J226"/>
  <c r="F226"/>
  <c r="K226"/>
  <c r="G226"/>
  <c r="H226"/>
  <c r="I228"/>
  <c r="I219"/>
  <c r="N219"/>
  <c r="I220"/>
  <c r="N220"/>
  <c r="I221"/>
  <c r="N221"/>
  <c r="J222"/>
  <c r="O222"/>
  <c r="H228"/>
  <c r="M228"/>
  <c r="I232"/>
  <c r="O232"/>
  <c r="F234"/>
  <c r="J234"/>
  <c r="N234"/>
  <c r="D230"/>
  <c r="J221"/>
  <c r="O221"/>
  <c r="N228"/>
  <c r="H219"/>
  <c r="H220"/>
  <c r="H221"/>
  <c r="I222"/>
  <c r="G228"/>
  <c r="K228"/>
  <c r="H232"/>
  <c r="I234"/>
  <c r="M140"/>
  <c r="F140"/>
  <c r="R132"/>
  <c r="O140"/>
  <c r="G140"/>
  <c r="N136"/>
  <c r="K123"/>
  <c r="P66"/>
  <c r="J140"/>
  <c r="H128"/>
  <c r="G128"/>
  <c r="N128"/>
  <c r="F128"/>
  <c r="K128"/>
  <c r="J128"/>
  <c r="P128"/>
  <c r="I128"/>
  <c r="O128"/>
  <c r="M65"/>
  <c r="O65"/>
  <c r="F65"/>
  <c r="E67"/>
  <c r="N129"/>
  <c r="I17"/>
  <c r="N140"/>
  <c r="I140"/>
  <c r="R138"/>
  <c r="K136"/>
  <c r="F136"/>
  <c r="J131"/>
  <c r="D132"/>
  <c r="P123"/>
  <c r="J123"/>
  <c r="F40"/>
  <c r="R67"/>
  <c r="R82" s="1"/>
  <c r="M136"/>
  <c r="G136"/>
  <c r="N120"/>
  <c r="I120"/>
  <c r="G130"/>
  <c r="O129"/>
  <c r="J129"/>
  <c r="F129"/>
  <c r="G121"/>
  <c r="O120"/>
  <c r="J120"/>
  <c r="F120"/>
  <c r="P140"/>
  <c r="L140"/>
  <c r="P136"/>
  <c r="L136"/>
  <c r="G131"/>
  <c r="I130"/>
  <c r="P129"/>
  <c r="K129"/>
  <c r="G129"/>
  <c r="M128"/>
  <c r="E127"/>
  <c r="N123"/>
  <c r="E122"/>
  <c r="I121"/>
  <c r="P120"/>
  <c r="K120"/>
  <c r="G120"/>
  <c r="I129"/>
  <c r="M129"/>
  <c r="M120"/>
  <c r="O97"/>
  <c r="J54"/>
  <c r="J65"/>
  <c r="J67" s="1"/>
  <c r="L66"/>
  <c r="L67" s="1"/>
  <c r="J78"/>
  <c r="K65"/>
  <c r="K67" s="1"/>
  <c r="M66"/>
  <c r="F39"/>
  <c r="G54"/>
  <c r="G65"/>
  <c r="P65"/>
  <c r="G66"/>
  <c r="N69"/>
  <c r="N70" s="1"/>
  <c r="I69"/>
  <c r="I70" s="1"/>
  <c r="O69"/>
  <c r="O70" s="1"/>
  <c r="J69"/>
  <c r="J70" s="1"/>
  <c r="F69"/>
  <c r="F70" s="1"/>
  <c r="P69"/>
  <c r="P70" s="1"/>
  <c r="L69"/>
  <c r="L70" s="1"/>
  <c r="G69"/>
  <c r="G70" s="1"/>
  <c r="M69"/>
  <c r="M70" s="1"/>
  <c r="H69"/>
  <c r="H70" s="1"/>
  <c r="I65"/>
  <c r="N65"/>
  <c r="N67" s="1"/>
  <c r="I66"/>
  <c r="O66"/>
  <c r="D70"/>
  <c r="E70" s="1"/>
  <c r="H65"/>
  <c r="H66"/>
  <c r="O98"/>
  <c r="R106"/>
  <c r="I98"/>
  <c r="N91"/>
  <c r="N92" s="1"/>
  <c r="F13"/>
  <c r="F54"/>
  <c r="I91"/>
  <c r="I92" s="1"/>
  <c r="J98"/>
  <c r="O91"/>
  <c r="O92" s="1"/>
  <c r="K39"/>
  <c r="P54"/>
  <c r="M45"/>
  <c r="F45"/>
  <c r="O45"/>
  <c r="O46" s="1"/>
  <c r="N13"/>
  <c r="M13"/>
  <c r="R17"/>
  <c r="O41"/>
  <c r="N98"/>
  <c r="H98"/>
  <c r="H91"/>
  <c r="H92" s="1"/>
  <c r="G13"/>
  <c r="P40"/>
  <c r="F41"/>
  <c r="O54"/>
  <c r="I10"/>
  <c r="I11" s="1"/>
  <c r="L10"/>
  <c r="L11" s="1"/>
  <c r="E11"/>
  <c r="O10"/>
  <c r="O11" s="1"/>
  <c r="F10"/>
  <c r="F11" s="1"/>
  <c r="P10"/>
  <c r="P11" s="1"/>
  <c r="G10"/>
  <c r="G11" s="1"/>
  <c r="J10"/>
  <c r="J11" s="1"/>
  <c r="R100"/>
  <c r="J6"/>
  <c r="J8" s="1"/>
  <c r="I6"/>
  <c r="H7"/>
  <c r="P7"/>
  <c r="P17"/>
  <c r="K41"/>
  <c r="O42"/>
  <c r="K45"/>
  <c r="D100"/>
  <c r="I99"/>
  <c r="I95"/>
  <c r="R92"/>
  <c r="G6"/>
  <c r="P6"/>
  <c r="G7"/>
  <c r="N7"/>
  <c r="N8" s="1"/>
  <c r="D11"/>
  <c r="J13"/>
  <c r="R37"/>
  <c r="K40"/>
  <c r="J41"/>
  <c r="J42"/>
  <c r="J45"/>
  <c r="L7"/>
  <c r="L8" s="1"/>
  <c r="R8"/>
  <c r="M17"/>
  <c r="M104"/>
  <c r="J99"/>
  <c r="P98"/>
  <c r="K98"/>
  <c r="N95"/>
  <c r="F92"/>
  <c r="F6"/>
  <c r="M6"/>
  <c r="F7"/>
  <c r="M7"/>
  <c r="H13"/>
  <c r="P13"/>
  <c r="H17"/>
  <c r="P39"/>
  <c r="H40"/>
  <c r="R46"/>
  <c r="G41"/>
  <c r="P41"/>
  <c r="F42"/>
  <c r="D46"/>
  <c r="G45"/>
  <c r="P45"/>
  <c r="K54"/>
  <c r="P33"/>
  <c r="J33"/>
  <c r="M33"/>
  <c r="F33"/>
  <c r="N33"/>
  <c r="G33"/>
  <c r="O33"/>
  <c r="I33"/>
  <c r="J34"/>
  <c r="O34"/>
  <c r="I36"/>
  <c r="O36"/>
  <c r="I43"/>
  <c r="N43"/>
  <c r="I34"/>
  <c r="N34"/>
  <c r="H36"/>
  <c r="N36"/>
  <c r="J39"/>
  <c r="O39"/>
  <c r="I42"/>
  <c r="N42"/>
  <c r="H43"/>
  <c r="M43"/>
  <c r="J44"/>
  <c r="H34"/>
  <c r="M34"/>
  <c r="G36"/>
  <c r="M36"/>
  <c r="I39"/>
  <c r="N39"/>
  <c r="J40"/>
  <c r="O40"/>
  <c r="I41"/>
  <c r="N41"/>
  <c r="H42"/>
  <c r="M42"/>
  <c r="G43"/>
  <c r="K43"/>
  <c r="P43"/>
  <c r="I44"/>
  <c r="I45"/>
  <c r="N45"/>
  <c r="I54"/>
  <c r="N54"/>
  <c r="F34"/>
  <c r="K34"/>
  <c r="F36"/>
  <c r="L36"/>
  <c r="L37" s="1"/>
  <c r="H39"/>
  <c r="I40"/>
  <c r="H41"/>
  <c r="G42"/>
  <c r="K42"/>
  <c r="F43"/>
  <c r="J43"/>
  <c r="H45"/>
  <c r="H54"/>
  <c r="I19"/>
  <c r="M19"/>
  <c r="H19"/>
  <c r="L19"/>
  <c r="P19"/>
  <c r="O6"/>
  <c r="O8" s="1"/>
  <c r="N10"/>
  <c r="N11" s="1"/>
  <c r="H6"/>
  <c r="I7"/>
  <c r="H10"/>
  <c r="H11" s="1"/>
  <c r="M10"/>
  <c r="M11" s="1"/>
  <c r="I13"/>
  <c r="F19"/>
  <c r="J19"/>
  <c r="N19"/>
  <c r="G19"/>
  <c r="K19"/>
  <c r="G94"/>
  <c r="M94"/>
  <c r="J94"/>
  <c r="P94"/>
  <c r="I94"/>
  <c r="O94"/>
  <c r="N94"/>
  <c r="E100"/>
  <c r="F94"/>
  <c r="N96"/>
  <c r="H96"/>
  <c r="M96"/>
  <c r="F96"/>
  <c r="K96"/>
  <c r="P96"/>
  <c r="J96"/>
  <c r="O96"/>
  <c r="I96"/>
  <c r="I104"/>
  <c r="N104"/>
  <c r="F104"/>
  <c r="J97"/>
  <c r="O95"/>
  <c r="J95"/>
  <c r="K104"/>
  <c r="G104"/>
  <c r="M97"/>
  <c r="G97"/>
  <c r="K95"/>
  <c r="F95"/>
  <c r="L91"/>
  <c r="L92" s="1"/>
  <c r="P104"/>
  <c r="L104"/>
  <c r="H104"/>
  <c r="N97"/>
  <c r="H97"/>
  <c r="M95"/>
  <c r="H95"/>
  <c r="M91"/>
  <c r="M92" s="1"/>
  <c r="G91"/>
  <c r="G92" s="1"/>
  <c r="I97"/>
  <c r="J104"/>
  <c r="P97"/>
  <c r="P91"/>
  <c r="P92" s="1"/>
  <c r="E316"/>
  <c r="D307"/>
  <c r="O156" l="1"/>
  <c r="R58"/>
  <c r="R146"/>
  <c r="R295"/>
  <c r="R242"/>
  <c r="R209"/>
  <c r="R25"/>
  <c r="H252"/>
  <c r="J188"/>
  <c r="G188"/>
  <c r="P252"/>
  <c r="F156"/>
  <c r="M252"/>
  <c r="G35"/>
  <c r="G37" s="1"/>
  <c r="M35"/>
  <c r="M37" s="1"/>
  <c r="P156"/>
  <c r="J217"/>
  <c r="I279"/>
  <c r="G252"/>
  <c r="J35"/>
  <c r="J37" s="1"/>
  <c r="N35"/>
  <c r="N37" s="1"/>
  <c r="N252"/>
  <c r="J279"/>
  <c r="E37"/>
  <c r="M281"/>
  <c r="M283" s="1"/>
  <c r="H281"/>
  <c r="H283" s="1"/>
  <c r="K281"/>
  <c r="K283" s="1"/>
  <c r="N281"/>
  <c r="N283" s="1"/>
  <c r="I281"/>
  <c r="I283" s="1"/>
  <c r="E283"/>
  <c r="O281"/>
  <c r="O283" s="1"/>
  <c r="J281"/>
  <c r="J283" s="1"/>
  <c r="F281"/>
  <c r="F283" s="1"/>
  <c r="P281"/>
  <c r="P283" s="1"/>
  <c r="G281"/>
  <c r="G283" s="1"/>
  <c r="G156"/>
  <c r="F188"/>
  <c r="I252"/>
  <c r="H188"/>
  <c r="F252"/>
  <c r="M217"/>
  <c r="M224" s="1"/>
  <c r="M164"/>
  <c r="H195"/>
  <c r="P35"/>
  <c r="P37" s="1"/>
  <c r="I217"/>
  <c r="I224" s="1"/>
  <c r="M188"/>
  <c r="O188"/>
  <c r="O35"/>
  <c r="O37" s="1"/>
  <c r="K35"/>
  <c r="K37" s="1"/>
  <c r="F35"/>
  <c r="F37" s="1"/>
  <c r="H35"/>
  <c r="H37" s="1"/>
  <c r="P188"/>
  <c r="M195"/>
  <c r="P195"/>
  <c r="O195"/>
  <c r="K188"/>
  <c r="N188"/>
  <c r="K195"/>
  <c r="J195"/>
  <c r="N195"/>
  <c r="I188"/>
  <c r="G195"/>
  <c r="F195"/>
  <c r="I195"/>
  <c r="G217"/>
  <c r="G224" s="1"/>
  <c r="P217"/>
  <c r="P224" s="1"/>
  <c r="O164"/>
  <c r="F164"/>
  <c r="N217"/>
  <c r="N224" s="1"/>
  <c r="F217"/>
  <c r="F224" s="1"/>
  <c r="P164"/>
  <c r="F67"/>
  <c r="O230"/>
  <c r="K164"/>
  <c r="G164"/>
  <c r="H164"/>
  <c r="N164"/>
  <c r="J164"/>
  <c r="I164"/>
  <c r="H156"/>
  <c r="I156"/>
  <c r="G230"/>
  <c r="P67"/>
  <c r="H230"/>
  <c r="J230"/>
  <c r="I230"/>
  <c r="K224"/>
  <c r="H67"/>
  <c r="F230"/>
  <c r="P230"/>
  <c r="O224"/>
  <c r="J224"/>
  <c r="H224"/>
  <c r="K230"/>
  <c r="M230"/>
  <c r="N230"/>
  <c r="H8"/>
  <c r="M67"/>
  <c r="F46"/>
  <c r="K46"/>
  <c r="O67"/>
  <c r="G67"/>
  <c r="F127"/>
  <c r="F132" s="1"/>
  <c r="J127"/>
  <c r="J132" s="1"/>
  <c r="O127"/>
  <c r="O132" s="1"/>
  <c r="P127"/>
  <c r="P132" s="1"/>
  <c r="I127"/>
  <c r="I132" s="1"/>
  <c r="N127"/>
  <c r="N132" s="1"/>
  <c r="H127"/>
  <c r="H132" s="1"/>
  <c r="M127"/>
  <c r="M132" s="1"/>
  <c r="G127"/>
  <c r="G132" s="1"/>
  <c r="K127"/>
  <c r="K132" s="1"/>
  <c r="E132"/>
  <c r="F122"/>
  <c r="F125" s="1"/>
  <c r="J122"/>
  <c r="J125" s="1"/>
  <c r="O122"/>
  <c r="O125" s="1"/>
  <c r="I122"/>
  <c r="I125" s="1"/>
  <c r="N122"/>
  <c r="N125" s="1"/>
  <c r="H122"/>
  <c r="H125" s="1"/>
  <c r="M122"/>
  <c r="M125" s="1"/>
  <c r="G122"/>
  <c r="G125" s="1"/>
  <c r="K122"/>
  <c r="K125" s="1"/>
  <c r="P122"/>
  <c r="P125" s="1"/>
  <c r="E125"/>
  <c r="G46"/>
  <c r="I67"/>
  <c r="P8"/>
  <c r="I8"/>
  <c r="M8"/>
  <c r="P46"/>
  <c r="M46"/>
  <c r="I46"/>
  <c r="I37"/>
  <c r="O100"/>
  <c r="M100"/>
  <c r="N46"/>
  <c r="F8"/>
  <c r="G8"/>
  <c r="J46"/>
  <c r="H46"/>
  <c r="K100"/>
  <c r="N100"/>
  <c r="J100"/>
  <c r="F100"/>
  <c r="I100"/>
  <c r="G100"/>
  <c r="H100"/>
  <c r="P100"/>
  <c r="E307"/>
  <c r="R302"/>
  <c r="E302"/>
  <c r="I302" s="1"/>
  <c r="L305"/>
  <c r="C305"/>
  <c r="R304"/>
  <c r="E304"/>
  <c r="J304" s="1"/>
  <c r="D303"/>
  <c r="E303" s="1"/>
  <c r="M303" s="1"/>
  <c r="R301"/>
  <c r="D301"/>
  <c r="E301" s="1"/>
  <c r="R305" l="1"/>
  <c r="J302"/>
  <c r="G302"/>
  <c r="P307"/>
  <c r="J307"/>
  <c r="O307"/>
  <c r="I307"/>
  <c r="N307"/>
  <c r="G307"/>
  <c r="F307"/>
  <c r="M307"/>
  <c r="E305"/>
  <c r="N301"/>
  <c r="I301"/>
  <c r="M301"/>
  <c r="M305" s="1"/>
  <c r="H301"/>
  <c r="P301"/>
  <c r="K301"/>
  <c r="G301"/>
  <c r="O301"/>
  <c r="J301"/>
  <c r="F301"/>
  <c r="I303"/>
  <c r="N303"/>
  <c r="F303"/>
  <c r="J303"/>
  <c r="O303"/>
  <c r="G304"/>
  <c r="G303"/>
  <c r="K303"/>
  <c r="P303"/>
  <c r="I304"/>
  <c r="D305"/>
  <c r="H303"/>
  <c r="R312"/>
  <c r="M312"/>
  <c r="E312"/>
  <c r="P312" s="1"/>
  <c r="O305" l="1"/>
  <c r="P305"/>
  <c r="N305"/>
  <c r="J305"/>
  <c r="H305"/>
  <c r="G305"/>
  <c r="F305"/>
  <c r="K305"/>
  <c r="I305"/>
  <c r="H312"/>
  <c r="N312"/>
  <c r="I312"/>
  <c r="J312"/>
  <c r="O312"/>
  <c r="F312"/>
  <c r="K312"/>
  <c r="R318" l="1"/>
  <c r="R311"/>
  <c r="E311" l="1"/>
  <c r="R308" l="1"/>
  <c r="C314" l="1"/>
  <c r="R309"/>
  <c r="R310"/>
  <c r="R313"/>
  <c r="R316"/>
  <c r="R319"/>
  <c r="R324"/>
  <c r="P311"/>
  <c r="O311"/>
  <c r="N311"/>
  <c r="M311"/>
  <c r="L311"/>
  <c r="L314" s="1"/>
  <c r="I311"/>
  <c r="H311"/>
  <c r="G311"/>
  <c r="F311"/>
  <c r="D310"/>
  <c r="E310" s="1"/>
  <c r="P310" s="1"/>
  <c r="D309"/>
  <c r="E309" s="1"/>
  <c r="E313"/>
  <c r="M313" s="1"/>
  <c r="D308"/>
  <c r="E308" s="1"/>
  <c r="E324"/>
  <c r="R110"/>
  <c r="R112" s="1"/>
  <c r="E110"/>
  <c r="P316"/>
  <c r="O316"/>
  <c r="N316"/>
  <c r="M316"/>
  <c r="J316"/>
  <c r="I316"/>
  <c r="H316"/>
  <c r="G316"/>
  <c r="F316"/>
  <c r="P318"/>
  <c r="P319"/>
  <c r="O318"/>
  <c r="O320" s="1"/>
  <c r="N318"/>
  <c r="N320" s="1"/>
  <c r="M318"/>
  <c r="M319"/>
  <c r="L320"/>
  <c r="K318"/>
  <c r="K320" s="1"/>
  <c r="J318"/>
  <c r="J320" s="1"/>
  <c r="I318"/>
  <c r="I319"/>
  <c r="H318"/>
  <c r="H319"/>
  <c r="G320"/>
  <c r="F318"/>
  <c r="F320" s="1"/>
  <c r="D320"/>
  <c r="C320"/>
  <c r="Y20" i="2"/>
  <c r="Y22" s="1"/>
  <c r="X19"/>
  <c r="X20" s="1"/>
  <c r="X22" s="1"/>
  <c r="W19"/>
  <c r="W20"/>
  <c r="W22" s="1"/>
  <c r="V19"/>
  <c r="V20" s="1"/>
  <c r="V22" s="1"/>
  <c r="U19"/>
  <c r="U20"/>
  <c r="U22" s="1"/>
  <c r="T19"/>
  <c r="T20" s="1"/>
  <c r="T22" s="1"/>
  <c r="S19"/>
  <c r="S20"/>
  <c r="S22" s="1"/>
  <c r="R19"/>
  <c r="R20" s="1"/>
  <c r="R22" s="1"/>
  <c r="Q19"/>
  <c r="Q20"/>
  <c r="Q22" s="1"/>
  <c r="P19"/>
  <c r="P20" s="1"/>
  <c r="P22" s="1"/>
  <c r="O19"/>
  <c r="O20"/>
  <c r="O22" s="1"/>
  <c r="N19"/>
  <c r="N20" s="1"/>
  <c r="N22" s="1"/>
  <c r="M19"/>
  <c r="M20"/>
  <c r="M22" s="1"/>
  <c r="L19"/>
  <c r="L20" s="1"/>
  <c r="L22" s="1"/>
  <c r="K19"/>
  <c r="K20"/>
  <c r="K22" s="1"/>
  <c r="J19"/>
  <c r="J20" s="1"/>
  <c r="J22" s="1"/>
  <c r="I19"/>
  <c r="I20"/>
  <c r="I22" s="1"/>
  <c r="H19"/>
  <c r="H20" s="1"/>
  <c r="H22" s="1"/>
  <c r="G19"/>
  <c r="G20"/>
  <c r="G22" s="1"/>
  <c r="F19"/>
  <c r="F20" s="1"/>
  <c r="F22" s="1"/>
  <c r="E19"/>
  <c r="E20"/>
  <c r="E22" s="1"/>
  <c r="D19"/>
  <c r="D20" s="1"/>
  <c r="D22" s="1"/>
  <c r="C19"/>
  <c r="C20"/>
  <c r="C22"/>
  <c r="B19"/>
  <c r="B20"/>
  <c r="B22" s="1"/>
  <c r="W23" l="1"/>
  <c r="R314" i="1"/>
  <c r="F313"/>
  <c r="M320"/>
  <c r="J313"/>
  <c r="I313"/>
  <c r="H313"/>
  <c r="J310"/>
  <c r="G313"/>
  <c r="I320"/>
  <c r="H320"/>
  <c r="R320"/>
  <c r="D314"/>
  <c r="N310"/>
  <c r="P320"/>
  <c r="I310"/>
  <c r="O310"/>
  <c r="F308"/>
  <c r="G308"/>
  <c r="H308"/>
  <c r="I308"/>
  <c r="J308"/>
  <c r="K308"/>
  <c r="M308"/>
  <c r="N308"/>
  <c r="O308"/>
  <c r="P308"/>
  <c r="N309"/>
  <c r="O309"/>
  <c r="P309"/>
  <c r="M309"/>
  <c r="F309"/>
  <c r="G309"/>
  <c r="H309"/>
  <c r="I309"/>
  <c r="J309"/>
  <c r="K309"/>
  <c r="P313"/>
  <c r="O313"/>
  <c r="N313"/>
  <c r="H310"/>
  <c r="M310"/>
  <c r="K310"/>
  <c r="F310"/>
  <c r="R326" l="1"/>
  <c r="G314"/>
  <c r="P314"/>
  <c r="M314"/>
  <c r="H314"/>
  <c r="I314"/>
  <c r="N314"/>
  <c r="O314"/>
  <c r="J314"/>
  <c r="F314"/>
  <c r="K314"/>
</calcChain>
</file>

<file path=xl/sharedStrings.xml><?xml version="1.0" encoding="utf-8"?>
<sst xmlns="http://schemas.openxmlformats.org/spreadsheetml/2006/main" count="565" uniqueCount="144">
  <si>
    <t>Наименование блюда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</si>
  <si>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</si>
  <si>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</si>
  <si>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</si>
  <si>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</si>
  <si>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</si>
  <si>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</si>
  <si>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</si>
  <si>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</si>
  <si>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</si>
  <si>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</si>
  <si>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</si>
  <si>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</si>
  <si>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</si>
  <si>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ДЕНЬ № 1</t>
  </si>
  <si>
    <t>морковь</t>
  </si>
  <si>
    <t>капуста</t>
  </si>
  <si>
    <t>растит. масло</t>
  </si>
  <si>
    <t>всего грамм</t>
  </si>
  <si>
    <t>нетто</t>
  </si>
  <si>
    <t>отх</t>
  </si>
  <si>
    <t>крупа гречневая</t>
  </si>
  <si>
    <t>масло сливочное</t>
  </si>
  <si>
    <t>мясо говядина</t>
  </si>
  <si>
    <t>рис</t>
  </si>
  <si>
    <t>масло растительное</t>
  </si>
  <si>
    <t>томат</t>
  </si>
  <si>
    <t>количество детей</t>
  </si>
  <si>
    <t>2день</t>
  </si>
  <si>
    <t>Меню</t>
  </si>
  <si>
    <t>Хлеб</t>
  </si>
  <si>
    <t>Соль</t>
  </si>
  <si>
    <t>Курица</t>
  </si>
  <si>
    <t>Картофель</t>
  </si>
  <si>
    <t>Лук</t>
  </si>
  <si>
    <t>Морковь</t>
  </si>
  <si>
    <t>Капуста</t>
  </si>
  <si>
    <t>Свекла</t>
  </si>
  <si>
    <t>Макаронные изд.</t>
  </si>
  <si>
    <t>Пшеничная крупа</t>
  </si>
  <si>
    <t>еленый горошек</t>
  </si>
  <si>
    <t>Гречка</t>
  </si>
  <si>
    <t>Мясо</t>
  </si>
  <si>
    <t>Фарш</t>
  </si>
  <si>
    <t>Яблоки</t>
  </si>
  <si>
    <t>Мука</t>
  </si>
  <si>
    <t>Масло растительное</t>
  </si>
  <si>
    <t>Масло сливочное</t>
  </si>
  <si>
    <t>Сухофрукты</t>
  </si>
  <si>
    <t>Сахар</t>
  </si>
  <si>
    <t>Томат</t>
  </si>
  <si>
    <t>Банан</t>
  </si>
  <si>
    <t>чай</t>
  </si>
  <si>
    <t>горох</t>
  </si>
  <si>
    <t>салат свекольный</t>
  </si>
  <si>
    <t>суп гороховый на к/б</t>
  </si>
  <si>
    <t>хлеб</t>
  </si>
  <si>
    <t>компот из сухофр</t>
  </si>
  <si>
    <t>бананы</t>
  </si>
  <si>
    <t>курица отварная</t>
  </si>
  <si>
    <t xml:space="preserve">                                                                                      </t>
  </si>
  <si>
    <t>Итого на 1 человека</t>
  </si>
  <si>
    <t>Итого к выдаче</t>
  </si>
  <si>
    <t>Цена</t>
  </si>
  <si>
    <t>На сумму:</t>
  </si>
  <si>
    <t>Стоимость д/дня</t>
  </si>
  <si>
    <t>цена</t>
  </si>
  <si>
    <t>сухофрукты</t>
  </si>
  <si>
    <t>сахар</t>
  </si>
  <si>
    <t>итого</t>
  </si>
  <si>
    <t>ДЕНЬ № 2</t>
  </si>
  <si>
    <t>свекла</t>
  </si>
  <si>
    <t>картофель</t>
  </si>
  <si>
    <t>лук</t>
  </si>
  <si>
    <t xml:space="preserve">курица </t>
  </si>
  <si>
    <t>соль</t>
  </si>
  <si>
    <t>ДЕНЬ № 3</t>
  </si>
  <si>
    <t>зел.горох</t>
  </si>
  <si>
    <t>горох лущенный</t>
  </si>
  <si>
    <t>макароны</t>
  </si>
  <si>
    <t>ДЕНЬ № 4</t>
  </si>
  <si>
    <t>мука</t>
  </si>
  <si>
    <t>ДЕНЬ № 5</t>
  </si>
  <si>
    <t>ДЕНЬ № 6</t>
  </si>
  <si>
    <t>ДЕНЬ № 7</t>
  </si>
  <si>
    <t>ДЕНЬ № 8</t>
  </si>
  <si>
    <t xml:space="preserve">рыба </t>
  </si>
  <si>
    <t>ДЕНЬ № 9</t>
  </si>
  <si>
    <t>ДЕНЬ № 10</t>
  </si>
  <si>
    <t>молоко</t>
  </si>
  <si>
    <t>какао</t>
  </si>
  <si>
    <t>ДЕНЬ № 11</t>
  </si>
  <si>
    <t xml:space="preserve"> </t>
  </si>
  <si>
    <t xml:space="preserve">рис </t>
  </si>
  <si>
    <t>Примерное 12-дневное меню для школьников за 2021 год</t>
  </si>
  <si>
    <t xml:space="preserve">1.салат из овощей </t>
  </si>
  <si>
    <t xml:space="preserve"> всего грамм</t>
  </si>
  <si>
    <t xml:space="preserve">Утверждаю:   </t>
  </si>
  <si>
    <t xml:space="preserve">Согласовано:   </t>
  </si>
  <si>
    <t xml:space="preserve">Начальник ТО Управления Роспотребнадзора </t>
  </si>
  <si>
    <t>Мятов Н.Г.</t>
  </si>
  <si>
    <t>6.бананы</t>
  </si>
  <si>
    <t>7.соль</t>
  </si>
  <si>
    <t>1.картофельное пюре</t>
  </si>
  <si>
    <t>3.хлеб</t>
  </si>
  <si>
    <t>4.чай</t>
  </si>
  <si>
    <t>6.соль</t>
  </si>
  <si>
    <t>ДЕНЬ № 12</t>
  </si>
  <si>
    <t>2.курица в духовке</t>
  </si>
  <si>
    <t>6.яблоки</t>
  </si>
  <si>
    <t>4.компот</t>
  </si>
  <si>
    <t>5.печенье</t>
  </si>
  <si>
    <t>4.яйцо</t>
  </si>
  <si>
    <t>5.яблоки</t>
  </si>
  <si>
    <t xml:space="preserve">сумма </t>
  </si>
  <si>
    <t>сумма</t>
  </si>
  <si>
    <t>по РД " Кайтагском районе"</t>
  </si>
  <si>
    <t>1.макароны отварные</t>
  </si>
  <si>
    <t>3.Хлеб</t>
  </si>
  <si>
    <t xml:space="preserve">2.суп картофельный с горохом,говядиной </t>
  </si>
  <si>
    <t>5.бананы</t>
  </si>
  <si>
    <t>1.суп с картофелем,мясными фрикадельками</t>
  </si>
  <si>
    <t>мясо говядины</t>
  </si>
  <si>
    <t xml:space="preserve">1.плов рисовый из отварного куриного мяса </t>
  </si>
  <si>
    <t>1.рыба запеченная</t>
  </si>
  <si>
    <t>2.картофельное пюре</t>
  </si>
  <si>
    <t>1.запеканка картофельная с куриным филе</t>
  </si>
  <si>
    <t>2.салат овощной</t>
  </si>
  <si>
    <t>1.жаркое по-домашнему</t>
  </si>
  <si>
    <t>2.борщ с капустой на мясном бульоне</t>
  </si>
  <si>
    <t>1.каша гречневая</t>
  </si>
  <si>
    <t xml:space="preserve">     2.какао с молоком</t>
  </si>
  <si>
    <t xml:space="preserve">1.каша рисовая молочная </t>
  </si>
  <si>
    <t>2.салат из овощей</t>
  </si>
  <si>
    <t>2.гуляш из говядины</t>
  </si>
  <si>
    <t>6.виноград</t>
  </si>
  <si>
    <t xml:space="preserve">5.слива </t>
  </si>
  <si>
    <t xml:space="preserve">6.слива </t>
  </si>
  <si>
    <t>5.виноград</t>
  </si>
  <si>
    <t>6.Соль</t>
  </si>
  <si>
    <t>Примерное двухнедельное меню для образовательных учреждений администрации МР "Дахадаевский район"                                                                         В период с 01.09.2021г.по 13.09.2021г.</t>
  </si>
  <si>
    <t>Начальник ОО и МУ МР"Дахадаевский район"</t>
  </si>
  <si>
    <t>администрации МР"Дахадаевский район"</t>
  </si>
  <si>
    <t>Сулейманов М.И.</t>
  </si>
</sst>
</file>

<file path=xl/styles.xml><?xml version="1.0" encoding="utf-8"?>
<styleSheet xmlns="http://schemas.openxmlformats.org/spreadsheetml/2006/main">
  <numFmts count="1">
    <numFmt numFmtId="164" formatCode="0.000"/>
  </numFmts>
  <fonts count="29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20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b/>
      <sz val="20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</font>
    <font>
      <sz val="20"/>
      <color indexed="8"/>
      <name val="Calibri"/>
      <family val="2"/>
    </font>
    <font>
      <b/>
      <sz val="20"/>
      <color theme="1"/>
      <name val="Times New Roman"/>
      <family val="1"/>
      <charset val="204"/>
    </font>
    <font>
      <b/>
      <sz val="2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3" fillId="0" borderId="0" xfId="0" applyFont="1" applyAlignment="1" applyProtection="1">
      <alignment horizontal="right"/>
      <protection locked="0"/>
    </xf>
    <xf numFmtId="0" fontId="4" fillId="0" borderId="4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textRotation="90" wrapText="1"/>
    </xf>
    <xf numFmtId="0" fontId="3" fillId="0" borderId="1" xfId="0" applyFont="1" applyBorder="1" applyAlignment="1" applyProtection="1">
      <alignment textRotation="90" wrapText="1"/>
      <protection locked="0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164" fontId="3" fillId="0" borderId="5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2" fontId="3" fillId="0" borderId="1" xfId="0" applyNumberFormat="1" applyFont="1" applyBorder="1" applyProtection="1"/>
    <xf numFmtId="0" fontId="3" fillId="0" borderId="1" xfId="0" applyFont="1" applyBorder="1" applyProtection="1"/>
    <xf numFmtId="2" fontId="3" fillId="0" borderId="6" xfId="0" applyNumberFormat="1" applyFont="1" applyBorder="1" applyAlignment="1" applyProtection="1">
      <alignment horizontal="center"/>
    </xf>
    <xf numFmtId="2" fontId="3" fillId="0" borderId="7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/>
    <xf numFmtId="0" fontId="7" fillId="0" borderId="0" xfId="0" applyFont="1"/>
    <xf numFmtId="1" fontId="7" fillId="0" borderId="0" xfId="0" applyNumberFormat="1" applyFont="1" applyBorder="1"/>
    <xf numFmtId="2" fontId="5" fillId="0" borderId="0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12" xfId="0" applyFont="1" applyBorder="1"/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1" fillId="2" borderId="2" xfId="0" applyFont="1" applyFill="1" applyBorder="1" applyAlignment="1">
      <alignment horizont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/>
    </xf>
    <xf numFmtId="0" fontId="11" fillId="0" borderId="2" xfId="1" applyNumberFormat="1" applyFont="1" applyFill="1" applyBorder="1" applyAlignment="1" applyProtection="1">
      <alignment horizontal="center" vertical="center"/>
    </xf>
    <xf numFmtId="0" fontId="11" fillId="0" borderId="5" xfId="1" applyNumberFormat="1" applyFont="1" applyFill="1" applyBorder="1" applyAlignment="1" applyProtection="1">
      <alignment horizontal="center" vertical="center"/>
    </xf>
    <xf numFmtId="0" fontId="11" fillId="0" borderId="9" xfId="1" applyNumberFormat="1" applyFont="1" applyFill="1" applyBorder="1" applyAlignment="1" applyProtection="1">
      <alignment horizontal="center" vertical="center"/>
    </xf>
    <xf numFmtId="0" fontId="11" fillId="0" borderId="10" xfId="1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3" fillId="0" borderId="8" xfId="1" applyNumberFormat="1" applyFont="1" applyFill="1" applyBorder="1" applyAlignment="1" applyProtection="1">
      <alignment horizontal="center" vertical="center"/>
    </xf>
    <xf numFmtId="0" fontId="11" fillId="0" borderId="11" xfId="1" applyNumberFormat="1" applyFont="1" applyFill="1" applyBorder="1" applyAlignment="1" applyProtection="1">
      <alignment horizontal="center" vertical="center" wrapText="1"/>
    </xf>
    <xf numFmtId="0" fontId="11" fillId="2" borderId="11" xfId="1" applyNumberFormat="1" applyFont="1" applyFill="1" applyBorder="1" applyAlignment="1" applyProtection="1">
      <alignment horizontal="center" vertical="center"/>
    </xf>
    <xf numFmtId="0" fontId="11" fillId="0" borderId="11" xfId="1" applyNumberFormat="1" applyFont="1" applyFill="1" applyBorder="1" applyAlignment="1" applyProtection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2" borderId="1" xfId="0" applyFont="1" applyFill="1" applyBorder="1" applyAlignment="1"/>
    <xf numFmtId="0" fontId="13" fillId="0" borderId="1" xfId="1" applyNumberFormat="1" applyFont="1" applyFill="1" applyBorder="1" applyAlignment="1" applyProtection="1">
      <alignment horizontal="left" vertical="center" wrapText="1"/>
    </xf>
    <xf numFmtId="0" fontId="11" fillId="0" borderId="8" xfId="1" applyNumberFormat="1" applyFont="1" applyFill="1" applyBorder="1" applyAlignment="1" applyProtection="1">
      <alignment horizontal="center" vertical="center" wrapText="1"/>
    </xf>
    <xf numFmtId="0" fontId="11" fillId="2" borderId="8" xfId="1" applyNumberFormat="1" applyFont="1" applyFill="1" applyBorder="1" applyAlignment="1" applyProtection="1">
      <alignment horizontal="center" vertical="center"/>
    </xf>
    <xf numFmtId="0" fontId="11" fillId="0" borderId="8" xfId="1" applyNumberFormat="1" applyFont="1" applyFill="1" applyBorder="1" applyAlignment="1" applyProtection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1" xfId="0" applyFont="1" applyBorder="1"/>
    <xf numFmtId="0" fontId="15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" xfId="0" applyFont="1" applyBorder="1"/>
    <xf numFmtId="2" fontId="12" fillId="0" borderId="1" xfId="0" applyNumberFormat="1" applyFont="1" applyBorder="1"/>
    <xf numFmtId="2" fontId="16" fillId="0" borderId="1" xfId="0" applyNumberFormat="1" applyFont="1" applyBorder="1"/>
    <xf numFmtId="2" fontId="14" fillId="0" borderId="1" xfId="0" applyNumberFormat="1" applyFont="1" applyBorder="1"/>
    <xf numFmtId="1" fontId="17" fillId="0" borderId="1" xfId="0" applyNumberFormat="1" applyFont="1" applyBorder="1"/>
    <xf numFmtId="1" fontId="14" fillId="0" borderId="1" xfId="0" applyNumberFormat="1" applyFont="1" applyBorder="1"/>
    <xf numFmtId="2" fontId="15" fillId="0" borderId="5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8" fillId="0" borderId="0" xfId="0" applyFont="1"/>
    <xf numFmtId="2" fontId="14" fillId="0" borderId="5" xfId="0" applyNumberFormat="1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64" fontId="14" fillId="0" borderId="1" xfId="0" applyNumberFormat="1" applyFont="1" applyBorder="1"/>
    <xf numFmtId="1" fontId="17" fillId="0" borderId="13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19" fillId="2" borderId="2" xfId="1" applyNumberFormat="1" applyFont="1" applyFill="1" applyBorder="1" applyAlignment="1" applyProtection="1">
      <alignment horizontal="center" vertical="top" wrapText="1"/>
    </xf>
    <xf numFmtId="0" fontId="19" fillId="2" borderId="2" xfId="1" applyNumberFormat="1" applyFont="1" applyFill="1" applyBorder="1" applyAlignment="1" applyProtection="1">
      <alignment horizontal="center" vertical="top"/>
    </xf>
    <xf numFmtId="0" fontId="11" fillId="0" borderId="1" xfId="1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/>
    </xf>
    <xf numFmtId="0" fontId="19" fillId="2" borderId="11" xfId="1" applyNumberFormat="1" applyFont="1" applyFill="1" applyBorder="1" applyAlignment="1" applyProtection="1">
      <alignment horizontal="center" vertical="top" wrapText="1"/>
    </xf>
    <xf numFmtId="0" fontId="19" fillId="2" borderId="11" xfId="1" applyNumberFormat="1" applyFont="1" applyFill="1" applyBorder="1" applyAlignment="1" applyProtection="1">
      <alignment horizontal="center" vertical="top"/>
    </xf>
    <xf numFmtId="0" fontId="14" fillId="0" borderId="11" xfId="0" applyFont="1" applyBorder="1" applyAlignment="1">
      <alignment horizontal="center"/>
    </xf>
    <xf numFmtId="0" fontId="13" fillId="0" borderId="2" xfId="1" applyNumberFormat="1" applyFont="1" applyFill="1" applyBorder="1" applyAlignment="1" applyProtection="1">
      <alignment horizontal="left" vertical="top" wrapText="1"/>
    </xf>
    <xf numFmtId="0" fontId="19" fillId="2" borderId="8" xfId="1" applyNumberFormat="1" applyFont="1" applyFill="1" applyBorder="1" applyAlignment="1" applyProtection="1">
      <alignment horizontal="center" vertical="top" wrapText="1"/>
    </xf>
    <xf numFmtId="0" fontId="19" fillId="2" borderId="8" xfId="1" applyNumberFormat="1" applyFont="1" applyFill="1" applyBorder="1" applyAlignment="1" applyProtection="1">
      <alignment horizontal="center" vertical="top"/>
    </xf>
    <xf numFmtId="0" fontId="14" fillId="0" borderId="8" xfId="0" applyFont="1" applyBorder="1" applyAlignment="1">
      <alignment horizontal="center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9" xfId="1" applyNumberFormat="1" applyFont="1" applyFill="1" applyBorder="1" applyAlignment="1" applyProtection="1">
      <alignment horizontal="center" vertical="top" wrapText="1"/>
    </xf>
    <xf numFmtId="0" fontId="13" fillId="0" borderId="10" xfId="1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Border="1" applyAlignment="1">
      <alignment horizontal="right"/>
    </xf>
    <xf numFmtId="0" fontId="13" fillId="0" borderId="1" xfId="1" applyNumberFormat="1" applyFont="1" applyFill="1" applyBorder="1" applyAlignment="1" applyProtection="1">
      <alignment horizontal="left" vertical="top" wrapText="1"/>
    </xf>
    <xf numFmtId="2" fontId="17" fillId="0" borderId="1" xfId="0" applyNumberFormat="1" applyFont="1" applyBorder="1"/>
    <xf numFmtId="0" fontId="14" fillId="0" borderId="3" xfId="1" applyNumberFormat="1" applyFont="1" applyFill="1" applyBorder="1" applyAlignment="1" applyProtection="1">
      <alignment horizontal="center" vertical="top" wrapText="1"/>
    </xf>
    <xf numFmtId="0" fontId="14" fillId="0" borderId="15" xfId="1" applyNumberFormat="1" applyFont="1" applyFill="1" applyBorder="1" applyAlignment="1" applyProtection="1">
      <alignment horizontal="center" vertical="top" wrapText="1"/>
    </xf>
    <xf numFmtId="0" fontId="14" fillId="0" borderId="16" xfId="1" applyNumberFormat="1" applyFont="1" applyFill="1" applyBorder="1" applyAlignment="1" applyProtection="1">
      <alignment horizontal="center" vertical="top" wrapText="1"/>
    </xf>
    <xf numFmtId="0" fontId="20" fillId="2" borderId="1" xfId="1" applyNumberFormat="1" applyFont="1" applyFill="1" applyBorder="1" applyAlignment="1" applyProtection="1">
      <alignment vertical="center" wrapText="1"/>
    </xf>
    <xf numFmtId="164" fontId="12" fillId="0" borderId="1" xfId="0" applyNumberFormat="1" applyFont="1" applyBorder="1"/>
    <xf numFmtId="2" fontId="14" fillId="0" borderId="1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21" fillId="0" borderId="9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3" fillId="0" borderId="0" xfId="0" applyFont="1"/>
    <xf numFmtId="2" fontId="15" fillId="0" borderId="1" xfId="0" applyNumberFormat="1" applyFont="1" applyBorder="1"/>
    <xf numFmtId="2" fontId="11" fillId="2" borderId="2" xfId="0" applyNumberFormat="1" applyFont="1" applyFill="1" applyBorder="1" applyAlignment="1">
      <alignment horizontal="center"/>
    </xf>
    <xf numFmtId="2" fontId="13" fillId="0" borderId="2" xfId="1" applyNumberFormat="1" applyFont="1" applyFill="1" applyBorder="1" applyAlignment="1" applyProtection="1">
      <alignment horizontal="center" vertical="center"/>
    </xf>
    <xf numFmtId="2" fontId="11" fillId="0" borderId="2" xfId="1" applyNumberFormat="1" applyFont="1" applyFill="1" applyBorder="1" applyAlignment="1" applyProtection="1">
      <alignment horizontal="center" vertical="center" wrapText="1"/>
    </xf>
    <xf numFmtId="2" fontId="11" fillId="2" borderId="2" xfId="1" applyNumberFormat="1" applyFont="1" applyFill="1" applyBorder="1" applyAlignment="1" applyProtection="1">
      <alignment horizontal="center" vertical="center"/>
    </xf>
    <xf numFmtId="2" fontId="11" fillId="0" borderId="2" xfId="1" applyNumberFormat="1" applyFont="1" applyFill="1" applyBorder="1" applyAlignment="1" applyProtection="1">
      <alignment horizontal="center" vertical="center"/>
    </xf>
    <xf numFmtId="2" fontId="11" fillId="0" borderId="5" xfId="1" applyNumberFormat="1" applyFont="1" applyFill="1" applyBorder="1" applyAlignment="1" applyProtection="1">
      <alignment horizontal="center" vertical="center"/>
    </xf>
    <xf numFmtId="2" fontId="11" fillId="0" borderId="9" xfId="1" applyNumberFormat="1" applyFont="1" applyFill="1" applyBorder="1" applyAlignment="1" applyProtection="1">
      <alignment horizontal="center" vertical="center"/>
    </xf>
    <xf numFmtId="2" fontId="11" fillId="0" borderId="10" xfId="1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/>
    </xf>
    <xf numFmtId="2" fontId="13" fillId="0" borderId="8" xfId="1" applyNumberFormat="1" applyFont="1" applyFill="1" applyBorder="1" applyAlignment="1" applyProtection="1">
      <alignment horizontal="center" vertical="center"/>
    </xf>
    <xf numFmtId="2" fontId="11" fillId="0" borderId="11" xfId="1" applyNumberFormat="1" applyFont="1" applyFill="1" applyBorder="1" applyAlignment="1" applyProtection="1">
      <alignment horizontal="center" vertical="center" wrapText="1"/>
    </xf>
    <xf numFmtId="2" fontId="11" fillId="2" borderId="11" xfId="1" applyNumberFormat="1" applyFont="1" applyFill="1" applyBorder="1" applyAlignment="1" applyProtection="1">
      <alignment horizontal="center" vertical="center"/>
    </xf>
    <xf numFmtId="2" fontId="11" fillId="0" borderId="11" xfId="1" applyNumberFormat="1" applyFont="1" applyFill="1" applyBorder="1" applyAlignment="1" applyProtection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/>
    <xf numFmtId="2" fontId="13" fillId="0" borderId="1" xfId="1" applyNumberFormat="1" applyFont="1" applyFill="1" applyBorder="1" applyAlignment="1" applyProtection="1">
      <alignment horizontal="left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</xf>
    <xf numFmtId="2" fontId="11" fillId="2" borderId="8" xfId="1" applyNumberFormat="1" applyFont="1" applyFill="1" applyBorder="1" applyAlignment="1" applyProtection="1">
      <alignment horizontal="center" vertical="center"/>
    </xf>
    <xf numFmtId="2" fontId="11" fillId="0" borderId="8" xfId="1" applyNumberFormat="1" applyFont="1" applyFill="1" applyBorder="1" applyAlignment="1" applyProtection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/>
    <xf numFmtId="0" fontId="12" fillId="0" borderId="0" xfId="0" applyFont="1" applyAlignment="1"/>
    <xf numFmtId="0" fontId="12" fillId="0" borderId="1" xfId="0" applyFont="1" applyBorder="1" applyAlignment="1"/>
    <xf numFmtId="2" fontId="12" fillId="0" borderId="1" xfId="0" applyNumberFormat="1" applyFont="1" applyBorder="1" applyAlignment="1"/>
    <xf numFmtId="2" fontId="16" fillId="0" borderId="1" xfId="0" applyNumberFormat="1" applyFont="1" applyBorder="1" applyAlignment="1"/>
    <xf numFmtId="0" fontId="14" fillId="0" borderId="1" xfId="0" applyFont="1" applyBorder="1" applyAlignment="1"/>
    <xf numFmtId="1" fontId="1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" fontId="14" fillId="0" borderId="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2" fontId="24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2" fontId="25" fillId="0" borderId="9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vertical="center"/>
    </xf>
    <xf numFmtId="2" fontId="21" fillId="0" borderId="0" xfId="0" applyNumberFormat="1" applyFont="1" applyAlignment="1"/>
    <xf numFmtId="2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9" xfId="1" applyNumberFormat="1" applyFont="1" applyFill="1" applyBorder="1" applyAlignment="1" applyProtection="1">
      <alignment horizontal="center" vertical="center" wrapText="1"/>
    </xf>
    <xf numFmtId="0" fontId="13" fillId="0" borderId="10" xfId="1" applyNumberFormat="1" applyFont="1" applyFill="1" applyBorder="1" applyAlignment="1" applyProtection="1">
      <alignment horizontal="center" vertical="center" wrapText="1"/>
    </xf>
    <xf numFmtId="2" fontId="14" fillId="0" borderId="11" xfId="0" applyNumberFormat="1" applyFont="1" applyBorder="1" applyAlignment="1">
      <alignment vertical="center"/>
    </xf>
    <xf numFmtId="1" fontId="17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" xfId="0" applyFont="1" applyBorder="1"/>
    <xf numFmtId="1" fontId="12" fillId="0" borderId="1" xfId="0" applyNumberFormat="1" applyFont="1" applyBorder="1"/>
    <xf numFmtId="1" fontId="12" fillId="0" borderId="3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0" fontId="11" fillId="2" borderId="2" xfId="0" applyFont="1" applyFill="1" applyBorder="1" applyAlignment="1"/>
    <xf numFmtId="2" fontId="17" fillId="0" borderId="13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22" fillId="2" borderId="1" xfId="0" applyFont="1" applyFill="1" applyBorder="1" applyAlignment="1"/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0" fontId="14" fillId="0" borderId="10" xfId="1" applyNumberFormat="1" applyFont="1" applyFill="1" applyBorder="1" applyAlignment="1" applyProtection="1">
      <alignment horizontal="center" vertical="center" wrapText="1"/>
    </xf>
    <xf numFmtId="1" fontId="13" fillId="0" borderId="1" xfId="0" applyNumberFormat="1" applyFont="1" applyBorder="1"/>
    <xf numFmtId="0" fontId="11" fillId="0" borderId="2" xfId="1" applyNumberFormat="1" applyFont="1" applyFill="1" applyBorder="1" applyAlignment="1" applyProtection="1">
      <alignment vertical="center" wrapText="1"/>
    </xf>
    <xf numFmtId="0" fontId="27" fillId="0" borderId="2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4" fillId="0" borderId="8" xfId="0" applyFont="1" applyBorder="1"/>
    <xf numFmtId="0" fontId="27" fillId="0" borderId="8" xfId="0" applyFont="1" applyBorder="1" applyAlignment="1">
      <alignment horizontal="center"/>
    </xf>
    <xf numFmtId="2" fontId="28" fillId="0" borderId="5" xfId="1" applyNumberFormat="1" applyFont="1" applyFill="1" applyBorder="1" applyAlignment="1" applyProtection="1">
      <alignment horizontal="center" vertical="center" wrapText="1"/>
    </xf>
    <xf numFmtId="2" fontId="28" fillId="0" borderId="9" xfId="1" applyNumberFormat="1" applyFont="1" applyFill="1" applyBorder="1" applyAlignment="1" applyProtection="1">
      <alignment horizontal="center" vertical="center" wrapText="1"/>
    </xf>
    <xf numFmtId="2" fontId="28" fillId="0" borderId="10" xfId="1" applyNumberFormat="1" applyFont="1" applyFill="1" applyBorder="1" applyAlignment="1" applyProtection="1">
      <alignment horizontal="center" vertical="center" wrapText="1"/>
    </xf>
    <xf numFmtId="2" fontId="16" fillId="0" borderId="2" xfId="0" applyNumberFormat="1" applyFont="1" applyBorder="1" applyAlignment="1">
      <alignment vertical="center"/>
    </xf>
    <xf numFmtId="2" fontId="16" fillId="2" borderId="1" xfId="1" applyNumberFormat="1" applyFont="1" applyFill="1" applyBorder="1" applyAlignment="1" applyProtection="1">
      <alignment vertical="center" wrapText="1"/>
    </xf>
    <xf numFmtId="2" fontId="23" fillId="0" borderId="1" xfId="0" applyNumberFormat="1" applyFont="1" applyBorder="1" applyAlignment="1">
      <alignment vertical="center"/>
    </xf>
    <xf numFmtId="2" fontId="23" fillId="0" borderId="0" xfId="0" applyNumberFormat="1" applyFont="1" applyAlignment="1">
      <alignment vertical="center"/>
    </xf>
    <xf numFmtId="2" fontId="16" fillId="0" borderId="11" xfId="0" applyNumberFormat="1" applyFont="1" applyBorder="1" applyAlignment="1">
      <alignment vertical="center"/>
    </xf>
    <xf numFmtId="2" fontId="20" fillId="2" borderId="1" xfId="1" applyNumberFormat="1" applyFont="1" applyFill="1" applyBorder="1" applyAlignment="1" applyProtection="1">
      <alignment vertical="center" wrapText="1"/>
    </xf>
    <xf numFmtId="2" fontId="12" fillId="0" borderId="0" xfId="0" applyNumberFormat="1" applyFont="1" applyAlignment="1">
      <alignment vertical="center"/>
    </xf>
    <xf numFmtId="2" fontId="14" fillId="0" borderId="8" xfId="0" applyNumberFormat="1" applyFont="1" applyBorder="1" applyAlignment="1">
      <alignment horizontal="left"/>
    </xf>
    <xf numFmtId="2" fontId="14" fillId="0" borderId="1" xfId="1" applyNumberFormat="1" applyFont="1" applyFill="1" applyBorder="1" applyAlignment="1" applyProtection="1">
      <alignment horizontal="left" wrapText="1"/>
    </xf>
    <xf numFmtId="2" fontId="14" fillId="0" borderId="1" xfId="0" applyNumberFormat="1" applyFont="1" applyBorder="1" applyAlignment="1">
      <alignment horizontal="left"/>
    </xf>
    <xf numFmtId="2" fontId="25" fillId="0" borderId="0" xfId="0" applyNumberFormat="1" applyFont="1" applyAlignment="1">
      <alignment horizontal="left"/>
    </xf>
    <xf numFmtId="1" fontId="28" fillId="0" borderId="1" xfId="0" applyNumberFormat="1" applyFont="1" applyBorder="1"/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3" fillId="0" borderId="1" xfId="0" applyNumberFormat="1" applyFont="1" applyBorder="1" applyAlignment="1">
      <alignment vertical="center"/>
    </xf>
    <xf numFmtId="1" fontId="14" fillId="0" borderId="1" xfId="0" applyNumberFormat="1" applyFont="1" applyBorder="1" applyAlignment="1">
      <alignment horizontal="left" vertical="center"/>
    </xf>
    <xf numFmtId="2" fontId="14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2" fontId="25" fillId="0" borderId="5" xfId="0" applyNumberFormat="1" applyFont="1" applyBorder="1" applyAlignment="1">
      <alignment horizontal="center"/>
    </xf>
    <xf numFmtId="2" fontId="23" fillId="0" borderId="9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5" fillId="0" borderId="1" xfId="0" applyNumberFormat="1" applyFont="1" applyBorder="1"/>
    <xf numFmtId="2" fontId="23" fillId="0" borderId="1" xfId="0" applyNumberFormat="1" applyFont="1" applyBorder="1"/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5"/>
  <sheetViews>
    <sheetView tabSelected="1" view="pageLayout" topLeftCell="A127" zoomScale="78" zoomScalePageLayoutView="78" workbookViewId="0">
      <selection sqref="A1:XFD353"/>
    </sheetView>
  </sheetViews>
  <sheetFormatPr defaultRowHeight="15"/>
  <cols>
    <col min="1" max="1" width="3.42578125" customWidth="1"/>
    <col min="2" max="2" width="25.140625" customWidth="1"/>
    <col min="3" max="3" width="18.7109375" customWidth="1"/>
    <col min="4" max="4" width="16.85546875" customWidth="1"/>
    <col min="5" max="5" width="16.42578125" customWidth="1"/>
    <col min="6" max="6" width="12.7109375" customWidth="1"/>
    <col min="7" max="7" width="18.5703125" customWidth="1"/>
    <col min="8" max="8" width="11.5703125" customWidth="1"/>
    <col min="9" max="9" width="15.42578125" customWidth="1"/>
    <col min="10" max="10" width="9.140625" customWidth="1"/>
    <col min="11" max="11" width="12.140625" customWidth="1"/>
    <col min="13" max="13" width="15.140625" customWidth="1"/>
    <col min="14" max="14" width="16.7109375" customWidth="1"/>
    <col min="15" max="15" width="16.28515625" customWidth="1"/>
    <col min="16" max="16" width="12.28515625" customWidth="1"/>
    <col min="17" max="17" width="14.5703125" customWidth="1"/>
    <col min="18" max="18" width="15.5703125" customWidth="1"/>
  </cols>
  <sheetData>
    <row r="1" spans="1:18" s="30" customFormat="1" ht="33.75" customHeight="1">
      <c r="A1" s="29" t="s">
        <v>94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30" customFormat="1" ht="18.75" customHeight="1">
      <c r="A2" s="31"/>
      <c r="B2" s="32" t="s">
        <v>0</v>
      </c>
      <c r="C2" s="33" t="s">
        <v>96</v>
      </c>
      <c r="D2" s="34" t="s">
        <v>20</v>
      </c>
      <c r="E2" s="34" t="s">
        <v>19</v>
      </c>
      <c r="F2" s="35" t="s">
        <v>1</v>
      </c>
      <c r="G2" s="35" t="s">
        <v>2</v>
      </c>
      <c r="H2" s="35" t="s">
        <v>3</v>
      </c>
      <c r="I2" s="35" t="s">
        <v>4</v>
      </c>
      <c r="J2" s="36" t="s">
        <v>5</v>
      </c>
      <c r="K2" s="37"/>
      <c r="L2" s="38"/>
      <c r="M2" s="36" t="s">
        <v>6</v>
      </c>
      <c r="N2" s="37"/>
      <c r="O2" s="37"/>
      <c r="P2" s="38"/>
      <c r="Q2" s="35" t="s">
        <v>66</v>
      </c>
      <c r="R2" s="39" t="s">
        <v>115</v>
      </c>
    </row>
    <row r="3" spans="1:18" s="30" customFormat="1" ht="15" customHeight="1">
      <c r="A3" s="40"/>
      <c r="B3" s="41"/>
      <c r="C3" s="42"/>
      <c r="D3" s="43"/>
      <c r="E3" s="43"/>
      <c r="F3" s="44"/>
      <c r="G3" s="44"/>
      <c r="H3" s="44"/>
      <c r="I3" s="44"/>
      <c r="J3" s="35" t="s">
        <v>7</v>
      </c>
      <c r="K3" s="34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44"/>
      <c r="R3" s="45"/>
    </row>
    <row r="4" spans="1:18" s="30" customFormat="1" ht="26.25">
      <c r="A4" s="46"/>
      <c r="B4" s="47" t="s">
        <v>14</v>
      </c>
      <c r="C4" s="48"/>
      <c r="D4" s="49"/>
      <c r="E4" s="49"/>
      <c r="F4" s="50"/>
      <c r="G4" s="50"/>
      <c r="H4" s="50"/>
      <c r="I4" s="50"/>
      <c r="J4" s="50"/>
      <c r="K4" s="49"/>
      <c r="L4" s="50"/>
      <c r="M4" s="50"/>
      <c r="N4" s="50"/>
      <c r="O4" s="50"/>
      <c r="P4" s="50"/>
      <c r="Q4" s="50"/>
      <c r="R4" s="51"/>
    </row>
    <row r="5" spans="1:18" s="30" customFormat="1" ht="26.25">
      <c r="A5" s="52"/>
      <c r="B5" s="53" t="s">
        <v>130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</row>
    <row r="6" spans="1:18" s="30" customFormat="1" ht="26.25">
      <c r="A6" s="52"/>
      <c r="B6" s="56" t="s">
        <v>21</v>
      </c>
      <c r="C6" s="57">
        <v>50</v>
      </c>
      <c r="D6" s="57">
        <v>0</v>
      </c>
      <c r="E6" s="57">
        <f>C6-D6</f>
        <v>50</v>
      </c>
      <c r="F6" s="57">
        <f>E6*12.6%</f>
        <v>6.3</v>
      </c>
      <c r="G6" s="57">
        <f>E6*3.3%</f>
        <v>1.6500000000000001</v>
      </c>
      <c r="H6" s="57">
        <f>E6*62.1%</f>
        <v>31.05</v>
      </c>
      <c r="I6" s="57">
        <f>E6*335%</f>
        <v>167.5</v>
      </c>
      <c r="J6" s="57">
        <f>E6*0.43%</f>
        <v>0.215</v>
      </c>
      <c r="K6" s="57">
        <v>0</v>
      </c>
      <c r="L6" s="57">
        <v>0</v>
      </c>
      <c r="M6" s="57">
        <f>E6*20%</f>
        <v>10</v>
      </c>
      <c r="N6" s="57">
        <f>E6*298%</f>
        <v>149</v>
      </c>
      <c r="O6" s="57">
        <f>E6*200%</f>
        <v>100</v>
      </c>
      <c r="P6" s="57">
        <f>E6*6.7%</f>
        <v>3.35</v>
      </c>
      <c r="Q6" s="57">
        <v>85</v>
      </c>
      <c r="R6" s="58">
        <f>C6/1000*85</f>
        <v>4.25</v>
      </c>
    </row>
    <row r="7" spans="1:18" s="30" customFormat="1" ht="26.25">
      <c r="A7" s="52"/>
      <c r="B7" s="56" t="s">
        <v>22</v>
      </c>
      <c r="C7" s="57">
        <v>10</v>
      </c>
      <c r="D7" s="57">
        <v>0</v>
      </c>
      <c r="E7" s="57">
        <f>C7-D7</f>
        <v>10</v>
      </c>
      <c r="F7" s="57">
        <f>E7*0.5%</f>
        <v>0.05</v>
      </c>
      <c r="G7" s="57">
        <f>E7*82.5%</f>
        <v>8.25</v>
      </c>
      <c r="H7" s="57">
        <f>E7*0.8%</f>
        <v>0.08</v>
      </c>
      <c r="I7" s="57">
        <f>E7*748%</f>
        <v>74.800000000000011</v>
      </c>
      <c r="J7" s="57">
        <v>0</v>
      </c>
      <c r="K7" s="57">
        <v>0</v>
      </c>
      <c r="L7" s="57">
        <f>E7*0.59%</f>
        <v>5.8999999999999997E-2</v>
      </c>
      <c r="M7" s="57">
        <f>E7*12%</f>
        <v>1.2</v>
      </c>
      <c r="N7" s="57">
        <f>E7*19%</f>
        <v>1.9</v>
      </c>
      <c r="O7" s="57">
        <f>E7*0.4%</f>
        <v>0.04</v>
      </c>
      <c r="P7" s="57">
        <f>E7*0.2%</f>
        <v>0.02</v>
      </c>
      <c r="Q7" s="57">
        <v>480</v>
      </c>
      <c r="R7" s="58">
        <f>C7/1000*480</f>
        <v>4.8</v>
      </c>
    </row>
    <row r="8" spans="1:18" s="30" customFormat="1" ht="26.25">
      <c r="A8" s="52"/>
      <c r="B8" s="52" t="s">
        <v>69</v>
      </c>
      <c r="C8" s="59">
        <f>C7+C6</f>
        <v>60</v>
      </c>
      <c r="D8" s="59">
        <v>0</v>
      </c>
      <c r="E8" s="59">
        <v>100</v>
      </c>
      <c r="F8" s="59">
        <f t="shared" ref="F8:P8" si="0">SUM(F6:F7)</f>
        <v>6.35</v>
      </c>
      <c r="G8" s="59">
        <f t="shared" si="0"/>
        <v>9.9</v>
      </c>
      <c r="H8" s="59">
        <f t="shared" si="0"/>
        <v>31.13</v>
      </c>
      <c r="I8" s="59">
        <f t="shared" si="0"/>
        <v>242.3</v>
      </c>
      <c r="J8" s="59">
        <f t="shared" si="0"/>
        <v>0.215</v>
      </c>
      <c r="K8" s="59">
        <f t="shared" si="0"/>
        <v>0</v>
      </c>
      <c r="L8" s="59">
        <f t="shared" si="0"/>
        <v>5.8999999999999997E-2</v>
      </c>
      <c r="M8" s="59">
        <f t="shared" si="0"/>
        <v>11.2</v>
      </c>
      <c r="N8" s="59">
        <f t="shared" si="0"/>
        <v>150.9</v>
      </c>
      <c r="O8" s="59">
        <f t="shared" si="0"/>
        <v>100.04</v>
      </c>
      <c r="P8" s="59">
        <f t="shared" si="0"/>
        <v>3.37</v>
      </c>
      <c r="Q8" s="59"/>
      <c r="R8" s="59">
        <f>SUM(R6:R7)</f>
        <v>9.0500000000000007</v>
      </c>
    </row>
    <row r="9" spans="1:18" s="30" customFormat="1" ht="26.25">
      <c r="A9" s="60"/>
      <c r="B9" s="53" t="s">
        <v>108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1:18" s="30" customFormat="1" ht="26.25">
      <c r="A10" s="60"/>
      <c r="B10" s="56" t="s">
        <v>74</v>
      </c>
      <c r="C10" s="57">
        <v>95</v>
      </c>
      <c r="D10" s="57">
        <f>C10*25%</f>
        <v>23.75</v>
      </c>
      <c r="E10" s="57">
        <f>C10-D10</f>
        <v>71.25</v>
      </c>
      <c r="F10" s="57">
        <f>E10*18.2%</f>
        <v>12.967499999999999</v>
      </c>
      <c r="G10" s="57">
        <f>E10*18.4%</f>
        <v>13.11</v>
      </c>
      <c r="H10" s="57">
        <f>E10*0.7%</f>
        <v>0.49874999999999997</v>
      </c>
      <c r="I10" s="57">
        <f>E10*241%</f>
        <v>171.71250000000001</v>
      </c>
      <c r="J10" s="57">
        <f>E10*0.07%</f>
        <v>4.987500000000001E-2</v>
      </c>
      <c r="K10" s="57">
        <v>0</v>
      </c>
      <c r="L10" s="57">
        <f>E10*0.07%</f>
        <v>4.987500000000001E-2</v>
      </c>
      <c r="M10" s="57">
        <f>E10*16%</f>
        <v>11.4</v>
      </c>
      <c r="N10" s="57">
        <f>E10*165%</f>
        <v>117.5625</v>
      </c>
      <c r="O10" s="57">
        <f>E10*18%</f>
        <v>12.824999999999999</v>
      </c>
      <c r="P10" s="57">
        <f>E10*1.6%</f>
        <v>1.1400000000000001</v>
      </c>
      <c r="Q10" s="57">
        <v>270</v>
      </c>
      <c r="R10" s="57">
        <f>C10/1000*270</f>
        <v>25.65</v>
      </c>
    </row>
    <row r="11" spans="1:18" s="30" customFormat="1" ht="26.25">
      <c r="A11" s="60"/>
      <c r="B11" s="59" t="s">
        <v>69</v>
      </c>
      <c r="C11" s="59">
        <f>SUM(C10:C10)</f>
        <v>95</v>
      </c>
      <c r="D11" s="59">
        <f>SUM(D10:D10)</f>
        <v>23.75</v>
      </c>
      <c r="E11" s="59">
        <f>E10-0</f>
        <v>71.25</v>
      </c>
      <c r="F11" s="59">
        <f t="shared" ref="F11:P11" si="1">SUM(F10:F10)</f>
        <v>12.967499999999999</v>
      </c>
      <c r="G11" s="59">
        <f t="shared" si="1"/>
        <v>13.11</v>
      </c>
      <c r="H11" s="59">
        <f t="shared" si="1"/>
        <v>0.49874999999999997</v>
      </c>
      <c r="I11" s="59">
        <f t="shared" si="1"/>
        <v>171.71250000000001</v>
      </c>
      <c r="J11" s="59">
        <f t="shared" si="1"/>
        <v>4.987500000000001E-2</v>
      </c>
      <c r="K11" s="59">
        <f t="shared" si="1"/>
        <v>0</v>
      </c>
      <c r="L11" s="59">
        <f t="shared" si="1"/>
        <v>4.987500000000001E-2</v>
      </c>
      <c r="M11" s="59">
        <f t="shared" si="1"/>
        <v>11.4</v>
      </c>
      <c r="N11" s="59">
        <f t="shared" si="1"/>
        <v>117.5625</v>
      </c>
      <c r="O11" s="59">
        <f t="shared" si="1"/>
        <v>12.824999999999999</v>
      </c>
      <c r="P11" s="59">
        <f t="shared" si="1"/>
        <v>1.1400000000000001</v>
      </c>
      <c r="Q11" s="59"/>
      <c r="R11" s="59">
        <f>SUM(R10:R10)</f>
        <v>25.65</v>
      </c>
    </row>
    <row r="12" spans="1:18" s="65" customFormat="1" ht="26.25">
      <c r="A12" s="61"/>
      <c r="B12" s="62" t="s">
        <v>104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s="30" customFormat="1" ht="26.25">
      <c r="A13" s="61"/>
      <c r="B13" s="59" t="s">
        <v>69</v>
      </c>
      <c r="C13" s="59">
        <v>30</v>
      </c>
      <c r="D13" s="59">
        <v>0</v>
      </c>
      <c r="E13" s="59">
        <f>C13-D13</f>
        <v>30</v>
      </c>
      <c r="F13" s="59">
        <f>E13*7.9%</f>
        <v>2.37</v>
      </c>
      <c r="G13" s="59">
        <f>E13*1%</f>
        <v>0.3</v>
      </c>
      <c r="H13" s="59">
        <f>E13*48.1%</f>
        <v>14.430000000000001</v>
      </c>
      <c r="I13" s="59">
        <f>E13*239%</f>
        <v>71.7</v>
      </c>
      <c r="J13" s="59">
        <f>E13*0.16%</f>
        <v>4.8000000000000001E-2</v>
      </c>
      <c r="K13" s="59">
        <v>0</v>
      </c>
      <c r="L13" s="59">
        <v>0</v>
      </c>
      <c r="M13" s="59">
        <f>E13*23%</f>
        <v>6.9</v>
      </c>
      <c r="N13" s="59">
        <f>E13*87%</f>
        <v>26.1</v>
      </c>
      <c r="O13" s="59">
        <f>E13*33%</f>
        <v>9.9</v>
      </c>
      <c r="P13" s="59">
        <f>E13*2%</f>
        <v>0.6</v>
      </c>
      <c r="Q13" s="59">
        <v>50</v>
      </c>
      <c r="R13" s="59">
        <f>C13/1000*50</f>
        <v>1.5</v>
      </c>
    </row>
    <row r="14" spans="1:18" s="30" customFormat="1" ht="26.25">
      <c r="A14" s="61"/>
      <c r="B14" s="62" t="s">
        <v>110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s="30" customFormat="1" ht="26.25">
      <c r="A15" s="61"/>
      <c r="B15" s="57" t="s">
        <v>67</v>
      </c>
      <c r="C15" s="57">
        <v>15</v>
      </c>
      <c r="D15" s="57">
        <v>0</v>
      </c>
      <c r="E15" s="57">
        <v>15</v>
      </c>
      <c r="F15" s="57">
        <f>E15*5.2%</f>
        <v>0.78</v>
      </c>
      <c r="G15" s="57">
        <v>0</v>
      </c>
      <c r="H15" s="57">
        <f>E15*55%</f>
        <v>8.25</v>
      </c>
      <c r="I15" s="57">
        <f>E15*234%</f>
        <v>35.099999999999994</v>
      </c>
      <c r="J15" s="57">
        <f>E15*0.1%</f>
        <v>1.4999999999999999E-2</v>
      </c>
      <c r="K15" s="57">
        <f>E15*4%</f>
        <v>0.6</v>
      </c>
      <c r="L15" s="57">
        <v>0</v>
      </c>
      <c r="M15" s="57">
        <f>E15*160%</f>
        <v>24</v>
      </c>
      <c r="N15" s="57">
        <f>E15*146%</f>
        <v>21.9</v>
      </c>
      <c r="O15" s="57">
        <f>E15*105%</f>
        <v>15.75</v>
      </c>
      <c r="P15" s="57">
        <f>E15*3.2%</f>
        <v>0.48</v>
      </c>
      <c r="Q15" s="57">
        <v>350</v>
      </c>
      <c r="R15" s="57">
        <f>C15/1000*350</f>
        <v>5.25</v>
      </c>
    </row>
    <row r="16" spans="1:18" s="30" customFormat="1" ht="26.25">
      <c r="A16" s="61"/>
      <c r="B16" s="57" t="s">
        <v>68</v>
      </c>
      <c r="C16" s="57">
        <v>10</v>
      </c>
      <c r="D16" s="57">
        <v>0</v>
      </c>
      <c r="E16" s="57">
        <v>10</v>
      </c>
      <c r="F16" s="57">
        <v>0</v>
      </c>
      <c r="G16" s="57">
        <v>0</v>
      </c>
      <c r="H16" s="57">
        <f>E16*99.8%</f>
        <v>9.98</v>
      </c>
      <c r="I16" s="57">
        <f>E16*379%</f>
        <v>37.9</v>
      </c>
      <c r="J16" s="57">
        <v>0</v>
      </c>
      <c r="K16" s="57">
        <v>0</v>
      </c>
      <c r="L16" s="57">
        <v>0</v>
      </c>
      <c r="M16" s="57">
        <f>E16*2%</f>
        <v>0.2</v>
      </c>
      <c r="N16" s="57">
        <v>0</v>
      </c>
      <c r="O16" s="57">
        <v>0</v>
      </c>
      <c r="P16" s="57">
        <f>E16*0.3%</f>
        <v>0.03</v>
      </c>
      <c r="Q16" s="57">
        <v>60</v>
      </c>
      <c r="R16" s="57">
        <f>C16/1000*60</f>
        <v>0.6</v>
      </c>
    </row>
    <row r="17" spans="1:18" s="30" customFormat="1" ht="26.25">
      <c r="A17" s="61"/>
      <c r="B17" s="59" t="s">
        <v>69</v>
      </c>
      <c r="C17" s="59">
        <v>25</v>
      </c>
      <c r="D17" s="59">
        <f>SUM(D15:D16)</f>
        <v>0</v>
      </c>
      <c r="E17" s="59">
        <v>150</v>
      </c>
      <c r="F17" s="59">
        <f t="shared" ref="F17:P17" si="2">SUM(F15:F16)</f>
        <v>0.78</v>
      </c>
      <c r="G17" s="59">
        <f t="shared" si="2"/>
        <v>0</v>
      </c>
      <c r="H17" s="59">
        <f t="shared" si="2"/>
        <v>18.23</v>
      </c>
      <c r="I17" s="59">
        <f t="shared" si="2"/>
        <v>73</v>
      </c>
      <c r="J17" s="59">
        <f t="shared" si="2"/>
        <v>1.4999999999999999E-2</v>
      </c>
      <c r="K17" s="59">
        <f t="shared" si="2"/>
        <v>0.6</v>
      </c>
      <c r="L17" s="59">
        <f t="shared" si="2"/>
        <v>0</v>
      </c>
      <c r="M17" s="59">
        <f t="shared" si="2"/>
        <v>24.2</v>
      </c>
      <c r="N17" s="59">
        <f t="shared" si="2"/>
        <v>21.9</v>
      </c>
      <c r="O17" s="59">
        <f t="shared" si="2"/>
        <v>15.75</v>
      </c>
      <c r="P17" s="59">
        <f t="shared" si="2"/>
        <v>0.51</v>
      </c>
      <c r="Q17" s="59"/>
      <c r="R17" s="59">
        <f>SUM(R15:R16)</f>
        <v>5.85</v>
      </c>
    </row>
    <row r="18" spans="1:18" s="65" customFormat="1" ht="26.25">
      <c r="A18" s="61"/>
      <c r="B18" s="66" t="s">
        <v>111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</row>
    <row r="19" spans="1:18" s="30" customFormat="1" ht="26.25">
      <c r="A19" s="61"/>
      <c r="B19" s="59" t="s">
        <v>69</v>
      </c>
      <c r="C19" s="59">
        <v>60</v>
      </c>
      <c r="D19" s="59">
        <v>0</v>
      </c>
      <c r="E19" s="59">
        <f>C19-D19</f>
        <v>60</v>
      </c>
      <c r="F19" s="57">
        <f>E19*7.5%</f>
        <v>4.5</v>
      </c>
      <c r="G19" s="57">
        <f>E19*11.8%</f>
        <v>7.08</v>
      </c>
      <c r="H19" s="57">
        <f>E19*74.4%</f>
        <v>44.640000000000008</v>
      </c>
      <c r="I19" s="57">
        <f>E19*436%</f>
        <v>261.60000000000002</v>
      </c>
      <c r="J19" s="57">
        <f>E19*0.08%</f>
        <v>4.8000000000000001E-2</v>
      </c>
      <c r="K19" s="57">
        <f>E19*0%</f>
        <v>0</v>
      </c>
      <c r="L19" s="57">
        <f>E19*0%</f>
        <v>0</v>
      </c>
      <c r="M19" s="57">
        <f>E19*29%</f>
        <v>17.399999999999999</v>
      </c>
      <c r="N19" s="57">
        <f>E19*90%</f>
        <v>54</v>
      </c>
      <c r="O19" s="57">
        <f>E19*20%</f>
        <v>12</v>
      </c>
      <c r="P19" s="57">
        <f>E19*2.1%</f>
        <v>1.26</v>
      </c>
      <c r="Q19" s="57">
        <v>160</v>
      </c>
      <c r="R19" s="59">
        <f>C19/1000*160</f>
        <v>9.6</v>
      </c>
    </row>
    <row r="20" spans="1:18" s="30" customFormat="1" ht="22.5" customHeight="1">
      <c r="A20" s="61"/>
      <c r="B20" s="62" t="s">
        <v>135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s="30" customFormat="1" ht="26.25">
      <c r="A21" s="61"/>
      <c r="B21" s="59" t="s">
        <v>69</v>
      </c>
      <c r="C21" s="59">
        <v>155</v>
      </c>
      <c r="D21" s="59">
        <v>0</v>
      </c>
      <c r="E21" s="59">
        <f>C21-D21</f>
        <v>155</v>
      </c>
      <c r="F21" s="59">
        <f>E21*0.6%</f>
        <v>0.93</v>
      </c>
      <c r="G21" s="59">
        <f>E21*0.2%</f>
        <v>0.31</v>
      </c>
      <c r="H21" s="59">
        <f>E21*15%</f>
        <v>23.25</v>
      </c>
      <c r="I21" s="59">
        <f>E21*65%</f>
        <v>100.75</v>
      </c>
      <c r="J21" s="59">
        <f>E21*0.05%</f>
        <v>7.7499999999999999E-2</v>
      </c>
      <c r="K21" s="59">
        <f>E21*6%</f>
        <v>9.2999999999999989</v>
      </c>
      <c r="L21" s="59">
        <v>0</v>
      </c>
      <c r="M21" s="59">
        <f>E21*45%</f>
        <v>69.75</v>
      </c>
      <c r="N21" s="59">
        <f>E21*22%</f>
        <v>34.1</v>
      </c>
      <c r="O21" s="59">
        <f>E21*17%</f>
        <v>26.35</v>
      </c>
      <c r="P21" s="59">
        <f>E21*0.6%</f>
        <v>0.93</v>
      </c>
      <c r="Q21" s="59">
        <v>60</v>
      </c>
      <c r="R21" s="59">
        <f>C21/1000*60</f>
        <v>9.3000000000000007</v>
      </c>
    </row>
    <row r="22" spans="1:18" s="30" customFormat="1" ht="26.25">
      <c r="A22" s="60"/>
      <c r="B22" s="66" t="s">
        <v>102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</row>
    <row r="23" spans="1:18" s="30" customFormat="1" ht="26.25">
      <c r="A23" s="60"/>
      <c r="B23" s="59" t="s">
        <v>69</v>
      </c>
      <c r="C23" s="69">
        <v>3</v>
      </c>
      <c r="D23" s="59">
        <v>0</v>
      </c>
      <c r="E23" s="69">
        <f>C23-D23</f>
        <v>3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20</v>
      </c>
      <c r="R23" s="69">
        <f>C23/1000*20</f>
        <v>0.06</v>
      </c>
    </row>
    <row r="24" spans="1:18" s="30" customFormat="1" ht="26.25">
      <c r="A24" s="60"/>
      <c r="B24" s="59"/>
      <c r="C24" s="69"/>
      <c r="D24" s="59"/>
      <c r="E24" s="6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9"/>
    </row>
    <row r="25" spans="1:18" s="30" customFormat="1" ht="26.25">
      <c r="A25" s="60"/>
      <c r="B25" s="59" t="s">
        <v>69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>
        <f>R23+R21+R19+R17+R13+R11+R8</f>
        <v>61.010000000000005</v>
      </c>
    </row>
    <row r="26" spans="1:18" s="72" customFormat="1" ht="23.25" customHeight="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s="72" customFormat="1" ht="23.25" customHeigh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s="72" customFormat="1" ht="23.25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s="30" customFormat="1" ht="26.25">
      <c r="A29" s="60"/>
      <c r="B29" s="73" t="s">
        <v>0</v>
      </c>
      <c r="C29" s="74" t="s">
        <v>18</v>
      </c>
      <c r="D29" s="75" t="s">
        <v>20</v>
      </c>
      <c r="E29" s="75" t="s">
        <v>19</v>
      </c>
      <c r="F29" s="35" t="s">
        <v>1</v>
      </c>
      <c r="G29" s="35" t="s">
        <v>2</v>
      </c>
      <c r="H29" s="35" t="s">
        <v>3</v>
      </c>
      <c r="I29" s="35" t="s">
        <v>4</v>
      </c>
      <c r="J29" s="76" t="s">
        <v>5</v>
      </c>
      <c r="K29" s="76"/>
      <c r="L29" s="76"/>
      <c r="M29" s="76" t="s">
        <v>6</v>
      </c>
      <c r="N29" s="76"/>
      <c r="O29" s="76"/>
      <c r="P29" s="76"/>
      <c r="Q29" s="35" t="s">
        <v>66</v>
      </c>
      <c r="R29" s="77" t="s">
        <v>115</v>
      </c>
    </row>
    <row r="30" spans="1:18" s="30" customFormat="1" ht="26.25">
      <c r="A30" s="60"/>
      <c r="B30" s="73"/>
      <c r="C30" s="78"/>
      <c r="D30" s="79"/>
      <c r="E30" s="79"/>
      <c r="F30" s="44"/>
      <c r="G30" s="44"/>
      <c r="H30" s="44"/>
      <c r="I30" s="44"/>
      <c r="J30" s="35" t="s">
        <v>7</v>
      </c>
      <c r="K30" s="34" t="s">
        <v>8</v>
      </c>
      <c r="L30" s="35" t="s">
        <v>9</v>
      </c>
      <c r="M30" s="35" t="s">
        <v>10</v>
      </c>
      <c r="N30" s="35" t="s">
        <v>11</v>
      </c>
      <c r="O30" s="35" t="s">
        <v>12</v>
      </c>
      <c r="P30" s="35" t="s">
        <v>13</v>
      </c>
      <c r="Q30" s="44"/>
      <c r="R30" s="80"/>
    </row>
    <row r="31" spans="1:18" s="30" customFormat="1" ht="26.25">
      <c r="A31" s="60"/>
      <c r="B31" s="81" t="s">
        <v>70</v>
      </c>
      <c r="C31" s="82"/>
      <c r="D31" s="83"/>
      <c r="E31" s="83"/>
      <c r="F31" s="50"/>
      <c r="G31" s="50"/>
      <c r="H31" s="50"/>
      <c r="I31" s="50"/>
      <c r="J31" s="50"/>
      <c r="K31" s="49"/>
      <c r="L31" s="50"/>
      <c r="M31" s="50"/>
      <c r="N31" s="50"/>
      <c r="O31" s="50"/>
      <c r="P31" s="50"/>
      <c r="Q31" s="50"/>
      <c r="R31" s="84"/>
    </row>
    <row r="32" spans="1:18" s="30" customFormat="1" ht="26.25">
      <c r="A32" s="60"/>
      <c r="B32" s="85" t="s">
        <v>128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7"/>
    </row>
    <row r="33" spans="1:18" s="30" customFormat="1" ht="26.25">
      <c r="A33" s="52"/>
      <c r="B33" s="56" t="s">
        <v>23</v>
      </c>
      <c r="C33" s="57">
        <v>50</v>
      </c>
      <c r="D33" s="57">
        <f>C33*0.26</f>
        <v>13</v>
      </c>
      <c r="E33" s="57">
        <f>SUM(C33-D33)</f>
        <v>37</v>
      </c>
      <c r="F33" s="57">
        <f>E33*18.6%</f>
        <v>6.8820000000000006</v>
      </c>
      <c r="G33" s="57">
        <f>E33*16%</f>
        <v>5.92</v>
      </c>
      <c r="H33" s="57">
        <v>0</v>
      </c>
      <c r="I33" s="57">
        <f>E33*218%</f>
        <v>80.660000000000011</v>
      </c>
      <c r="J33" s="57">
        <f>E33*0.06%</f>
        <v>2.2199999999999998E-2</v>
      </c>
      <c r="K33" s="57">
        <v>0</v>
      </c>
      <c r="L33" s="57">
        <v>0</v>
      </c>
      <c r="M33" s="57">
        <f>E33*9%</f>
        <v>3.33</v>
      </c>
      <c r="N33" s="57">
        <f>E33*188%</f>
        <v>69.56</v>
      </c>
      <c r="O33" s="57">
        <f>E33*22%</f>
        <v>8.14</v>
      </c>
      <c r="P33" s="57">
        <f>E33*2.7%</f>
        <v>0.99900000000000011</v>
      </c>
      <c r="Q33" s="57">
        <v>475</v>
      </c>
      <c r="R33" s="57">
        <f>C33/1000*475</f>
        <v>23.75</v>
      </c>
    </row>
    <row r="34" spans="1:18" s="30" customFormat="1" ht="26.25">
      <c r="A34" s="52"/>
      <c r="B34" s="56" t="s">
        <v>73</v>
      </c>
      <c r="C34" s="88">
        <v>10</v>
      </c>
      <c r="D34" s="57">
        <f>C34*0.16</f>
        <v>1.6</v>
      </c>
      <c r="E34" s="57">
        <f>C34-D34</f>
        <v>8.4</v>
      </c>
      <c r="F34" s="57">
        <f>E34*1.4%</f>
        <v>0.1176</v>
      </c>
      <c r="G34" s="30">
        <v>0</v>
      </c>
      <c r="H34" s="57">
        <f>E34*9.1%</f>
        <v>0.76439999999999997</v>
      </c>
      <c r="I34" s="57">
        <f>E34*41%</f>
        <v>3.444</v>
      </c>
      <c r="J34" s="57">
        <f>E34*0.05%</f>
        <v>4.2000000000000006E-3</v>
      </c>
      <c r="K34" s="57">
        <f>E34*10%</f>
        <v>0.84000000000000008</v>
      </c>
      <c r="L34" s="57">
        <v>0</v>
      </c>
      <c r="M34" s="57">
        <f>E34*31%</f>
        <v>2.6040000000000001</v>
      </c>
      <c r="N34" s="57">
        <f>E34*58%</f>
        <v>4.8719999999999999</v>
      </c>
      <c r="O34" s="57">
        <f>E34*14%</f>
        <v>1.1760000000000002</v>
      </c>
      <c r="P34" s="57">
        <f>E34*0.8%</f>
        <v>6.720000000000001E-2</v>
      </c>
      <c r="Q34" s="57">
        <v>40</v>
      </c>
      <c r="R34" s="57">
        <f>C34/1000*40</f>
        <v>0.4</v>
      </c>
    </row>
    <row r="35" spans="1:18" s="30" customFormat="1" ht="26.25">
      <c r="A35" s="61"/>
      <c r="B35" s="56" t="s">
        <v>72</v>
      </c>
      <c r="C35" s="57">
        <v>60</v>
      </c>
      <c r="D35" s="57">
        <f>C35*25%</f>
        <v>15</v>
      </c>
      <c r="E35" s="57">
        <f>C35-D35</f>
        <v>45</v>
      </c>
      <c r="F35" s="57">
        <f>E35*2%</f>
        <v>0.9</v>
      </c>
      <c r="G35" s="57">
        <f>E35*0.4%</f>
        <v>0.18</v>
      </c>
      <c r="H35" s="57">
        <f>E35*16.3%</f>
        <v>7.335</v>
      </c>
      <c r="I35" s="57">
        <f>E35*80%</f>
        <v>36</v>
      </c>
      <c r="J35" s="57">
        <f>E35*0.12%</f>
        <v>5.3999999999999992E-2</v>
      </c>
      <c r="K35" s="57">
        <f>E35*20%</f>
        <v>9</v>
      </c>
      <c r="L35" s="57">
        <v>0</v>
      </c>
      <c r="M35" s="57">
        <f>E35*10%</f>
        <v>4.5</v>
      </c>
      <c r="N35" s="57">
        <f>E35*58%</f>
        <v>26.099999999999998</v>
      </c>
      <c r="O35" s="57">
        <f>E35*23%</f>
        <v>10.35</v>
      </c>
      <c r="P35" s="57">
        <f>E35*0.9%</f>
        <v>0.40500000000000003</v>
      </c>
      <c r="Q35" s="57">
        <v>57</v>
      </c>
      <c r="R35" s="57">
        <f>C35/1000*57</f>
        <v>3.42</v>
      </c>
    </row>
    <row r="36" spans="1:18" s="30" customFormat="1" ht="26.25">
      <c r="A36" s="52"/>
      <c r="B36" s="56" t="s">
        <v>22</v>
      </c>
      <c r="C36" s="57">
        <v>10</v>
      </c>
      <c r="D36" s="57">
        <v>0</v>
      </c>
      <c r="E36" s="57">
        <f>C36-D36</f>
        <v>10</v>
      </c>
      <c r="F36" s="57">
        <f>E36*0.5%</f>
        <v>0.05</v>
      </c>
      <c r="G36" s="57">
        <f>E36*82.5%</f>
        <v>8.25</v>
      </c>
      <c r="H36" s="57">
        <f>E36*0.8%</f>
        <v>0.08</v>
      </c>
      <c r="I36" s="57">
        <f>E36*748%</f>
        <v>74.800000000000011</v>
      </c>
      <c r="J36" s="57">
        <v>0</v>
      </c>
      <c r="K36" s="57">
        <v>0</v>
      </c>
      <c r="L36" s="57">
        <f>E36*0.59%</f>
        <v>5.8999999999999997E-2</v>
      </c>
      <c r="M36" s="57">
        <f>E36*12%</f>
        <v>1.2</v>
      </c>
      <c r="N36" s="57">
        <f>E36*19%</f>
        <v>1.9</v>
      </c>
      <c r="O36" s="57">
        <f>E36*0.4%</f>
        <v>0.04</v>
      </c>
      <c r="P36" s="57">
        <f>E36*0.2%</f>
        <v>0.02</v>
      </c>
      <c r="Q36" s="57">
        <v>480</v>
      </c>
      <c r="R36" s="58">
        <f>C36/1000*480</f>
        <v>4.8</v>
      </c>
    </row>
    <row r="37" spans="1:18" s="30" customFormat="1" ht="26.25">
      <c r="A37" s="61"/>
      <c r="B37" s="89" t="s">
        <v>69</v>
      </c>
      <c r="C37" s="90">
        <f t="shared" ref="C37:P37" si="3">SUM(C35:C36)</f>
        <v>70</v>
      </c>
      <c r="D37" s="90">
        <f t="shared" si="3"/>
        <v>15</v>
      </c>
      <c r="E37" s="90">
        <f t="shared" si="3"/>
        <v>55</v>
      </c>
      <c r="F37" s="90">
        <f t="shared" si="3"/>
        <v>0.95000000000000007</v>
      </c>
      <c r="G37" s="90">
        <f t="shared" si="3"/>
        <v>8.43</v>
      </c>
      <c r="H37" s="90">
        <f t="shared" si="3"/>
        <v>7.415</v>
      </c>
      <c r="I37" s="90">
        <f t="shared" si="3"/>
        <v>110.80000000000001</v>
      </c>
      <c r="J37" s="90">
        <f t="shared" si="3"/>
        <v>5.3999999999999992E-2</v>
      </c>
      <c r="K37" s="90">
        <f t="shared" si="3"/>
        <v>9</v>
      </c>
      <c r="L37" s="90">
        <f t="shared" si="3"/>
        <v>5.8999999999999997E-2</v>
      </c>
      <c r="M37" s="90">
        <f t="shared" si="3"/>
        <v>5.7</v>
      </c>
      <c r="N37" s="90">
        <f t="shared" si="3"/>
        <v>27.999999999999996</v>
      </c>
      <c r="O37" s="90">
        <f t="shared" si="3"/>
        <v>10.389999999999999</v>
      </c>
      <c r="P37" s="90">
        <f t="shared" si="3"/>
        <v>0.42500000000000004</v>
      </c>
      <c r="Q37" s="90"/>
      <c r="R37" s="90">
        <f>SUM(R33:R36)</f>
        <v>32.369999999999997</v>
      </c>
    </row>
    <row r="38" spans="1:18" s="30" customFormat="1" ht="26.25">
      <c r="A38" s="61"/>
      <c r="B38" s="91" t="s">
        <v>129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</row>
    <row r="39" spans="1:18" s="30" customFormat="1" ht="26.25">
      <c r="A39" s="52"/>
      <c r="B39" s="56" t="s">
        <v>73</v>
      </c>
      <c r="C39" s="88">
        <v>20</v>
      </c>
      <c r="D39" s="57">
        <f>C39*0.16</f>
        <v>3.2</v>
      </c>
      <c r="E39" s="57">
        <f>C39-D39</f>
        <v>16.8</v>
      </c>
      <c r="F39" s="57">
        <f>E39*1.4%</f>
        <v>0.23519999999999999</v>
      </c>
      <c r="G39" s="30">
        <v>0</v>
      </c>
      <c r="H39" s="57">
        <f>E39*9.1%</f>
        <v>1.5287999999999999</v>
      </c>
      <c r="I39" s="57">
        <f>E39*41%</f>
        <v>6.8879999999999999</v>
      </c>
      <c r="J39" s="57">
        <f>E39*0.05%</f>
        <v>8.4000000000000012E-3</v>
      </c>
      <c r="K39" s="57">
        <f>E39*10%</f>
        <v>1.6800000000000002</v>
      </c>
      <c r="L39" s="57">
        <v>0</v>
      </c>
      <c r="M39" s="57">
        <f>E39*31%</f>
        <v>5.2080000000000002</v>
      </c>
      <c r="N39" s="57">
        <f>E39*58%</f>
        <v>9.7439999999999998</v>
      </c>
      <c r="O39" s="57">
        <f>E39*14%</f>
        <v>2.3520000000000003</v>
      </c>
      <c r="P39" s="57">
        <f>E39*0.8%</f>
        <v>0.13440000000000002</v>
      </c>
      <c r="Q39" s="57">
        <v>40</v>
      </c>
      <c r="R39" s="57">
        <f>C39/1000*40</f>
        <v>0.8</v>
      </c>
    </row>
    <row r="40" spans="1:18" s="30" customFormat="1" ht="18.75" customHeight="1">
      <c r="A40" s="61"/>
      <c r="B40" s="56" t="s">
        <v>26</v>
      </c>
      <c r="C40" s="88">
        <v>5</v>
      </c>
      <c r="D40" s="57">
        <v>0</v>
      </c>
      <c r="E40" s="57">
        <f>SUM(C40:D40)</f>
        <v>5</v>
      </c>
      <c r="F40" s="57">
        <f>E40*1%</f>
        <v>0.05</v>
      </c>
      <c r="G40" s="57">
        <v>0</v>
      </c>
      <c r="H40" s="57">
        <f>E40*3.5%</f>
        <v>0.17500000000000002</v>
      </c>
      <c r="I40" s="57">
        <f>E40*19%</f>
        <v>0.95</v>
      </c>
      <c r="J40" s="57">
        <f>E40*0.03%</f>
        <v>1.4999999999999998E-3</v>
      </c>
      <c r="K40" s="57">
        <f>E40*10%</f>
        <v>0.5</v>
      </c>
      <c r="L40" s="57">
        <v>0</v>
      </c>
      <c r="M40" s="57">
        <f>C40*7%</f>
        <v>0.35000000000000003</v>
      </c>
      <c r="N40" s="57">
        <f>E40*32%</f>
        <v>1.6</v>
      </c>
      <c r="O40" s="57">
        <f>E40*12%</f>
        <v>0.6</v>
      </c>
      <c r="P40" s="57">
        <f>E40*0.7%</f>
        <v>3.4999999999999996E-2</v>
      </c>
      <c r="Q40" s="57">
        <v>150</v>
      </c>
      <c r="R40" s="57">
        <f>C40/1000*150</f>
        <v>0.75</v>
      </c>
    </row>
    <row r="41" spans="1:18" s="30" customFormat="1" ht="19.5" customHeight="1">
      <c r="A41" s="61"/>
      <c r="B41" s="94" t="s">
        <v>15</v>
      </c>
      <c r="C41" s="88">
        <v>28</v>
      </c>
      <c r="D41" s="57">
        <f>C41*0.2</f>
        <v>5.6000000000000005</v>
      </c>
      <c r="E41" s="57">
        <f>C41-D41</f>
        <v>22.4</v>
      </c>
      <c r="F41" s="57">
        <f>E41*1.3%</f>
        <v>0.29120000000000001</v>
      </c>
      <c r="G41" s="95">
        <f>E41*0.001</f>
        <v>2.24E-2</v>
      </c>
      <c r="H41" s="57">
        <f>E41*0.072</f>
        <v>1.6127999999999998</v>
      </c>
      <c r="I41" s="57">
        <f>E41*0.3</f>
        <v>6.72</v>
      </c>
      <c r="J41" s="57">
        <f>E41*0.06%</f>
        <v>1.3439999999999999E-2</v>
      </c>
      <c r="K41" s="57">
        <f>E41*5%</f>
        <v>1.1199999999999999</v>
      </c>
      <c r="L41" s="57">
        <v>0</v>
      </c>
      <c r="M41" s="57">
        <f>E41*51%</f>
        <v>11.423999999999999</v>
      </c>
      <c r="N41" s="57">
        <f>E41*55%</f>
        <v>12.32</v>
      </c>
      <c r="O41" s="57">
        <f>E41*38%</f>
        <v>8.5119999999999987</v>
      </c>
      <c r="P41" s="57">
        <f>E41*0.7%</f>
        <v>0.15679999999999997</v>
      </c>
      <c r="Q41" s="57">
        <v>60</v>
      </c>
      <c r="R41" s="56">
        <f>C41/1000*60</f>
        <v>1.68</v>
      </c>
    </row>
    <row r="42" spans="1:18" s="30" customFormat="1" ht="23.25" customHeight="1">
      <c r="A42" s="61"/>
      <c r="B42" s="94" t="s">
        <v>16</v>
      </c>
      <c r="C42" s="88">
        <v>50</v>
      </c>
      <c r="D42" s="57">
        <f>C42*0.2</f>
        <v>10</v>
      </c>
      <c r="E42" s="57">
        <f>C42-D42</f>
        <v>40</v>
      </c>
      <c r="F42" s="57">
        <f>E42*0.018</f>
        <v>0.72</v>
      </c>
      <c r="G42" s="95">
        <f>E42*0.001</f>
        <v>0.04</v>
      </c>
      <c r="H42" s="57">
        <f>E42*0.047</f>
        <v>1.88</v>
      </c>
      <c r="I42" s="57">
        <f>E42*0.27</f>
        <v>10.8</v>
      </c>
      <c r="J42" s="57">
        <f>E42*0.03%</f>
        <v>1.1999999999999999E-2</v>
      </c>
      <c r="K42" s="57">
        <f>E42*45%</f>
        <v>18</v>
      </c>
      <c r="L42" s="57">
        <v>0</v>
      </c>
      <c r="M42" s="57">
        <f>E42*48%</f>
        <v>19.2</v>
      </c>
      <c r="N42" s="57">
        <f>E42*31%</f>
        <v>12.4</v>
      </c>
      <c r="O42" s="57">
        <f>E42*16%</f>
        <v>6.4</v>
      </c>
      <c r="P42" s="57">
        <f>E42*0.6%</f>
        <v>0.24</v>
      </c>
      <c r="Q42" s="57">
        <v>50</v>
      </c>
      <c r="R42" s="56">
        <f>C42/1000*50</f>
        <v>2.5</v>
      </c>
    </row>
    <row r="43" spans="1:18" s="30" customFormat="1" ht="26.25">
      <c r="A43" s="52"/>
      <c r="B43" s="94" t="s">
        <v>71</v>
      </c>
      <c r="C43" s="88">
        <v>50</v>
      </c>
      <c r="D43" s="57">
        <f>C43*0.2</f>
        <v>10</v>
      </c>
      <c r="E43" s="57">
        <f>C43-D43</f>
        <v>40</v>
      </c>
      <c r="F43" s="57">
        <f>E43*0.015</f>
        <v>0.6</v>
      </c>
      <c r="G43" s="57">
        <f>E43*0.001</f>
        <v>0.04</v>
      </c>
      <c r="H43" s="57">
        <f>E43*0.091</f>
        <v>3.6399999999999997</v>
      </c>
      <c r="I43" s="57">
        <f>E43*0.42</f>
        <v>16.8</v>
      </c>
      <c r="J43" s="57">
        <f>E43*0.02%</f>
        <v>8.0000000000000002E-3</v>
      </c>
      <c r="K43" s="57">
        <f>E43*10%</f>
        <v>4</v>
      </c>
      <c r="L43" s="57">
        <v>0</v>
      </c>
      <c r="M43" s="57">
        <f>E43*37%</f>
        <v>14.8</v>
      </c>
      <c r="N43" s="57">
        <f>E43*43%</f>
        <v>17.2</v>
      </c>
      <c r="O43" s="57">
        <f>E43*22%</f>
        <v>8.8000000000000007</v>
      </c>
      <c r="P43" s="57">
        <f>E43*1.4%</f>
        <v>0.55999999999999994</v>
      </c>
      <c r="Q43" s="57">
        <v>60</v>
      </c>
      <c r="R43" s="57">
        <f>C43/1000*60</f>
        <v>3</v>
      </c>
    </row>
    <row r="44" spans="1:18" s="30" customFormat="1" ht="26.25">
      <c r="A44" s="61"/>
      <c r="B44" s="94" t="s">
        <v>17</v>
      </c>
      <c r="C44" s="88">
        <v>10</v>
      </c>
      <c r="D44" s="57">
        <v>0</v>
      </c>
      <c r="E44" s="57">
        <f>C44-D44</f>
        <v>10</v>
      </c>
      <c r="F44" s="57">
        <v>0</v>
      </c>
      <c r="G44" s="95">
        <f>E44*0.999</f>
        <v>9.99</v>
      </c>
      <c r="H44" s="57">
        <v>0</v>
      </c>
      <c r="I44" s="57">
        <f>E44*8.99</f>
        <v>89.9</v>
      </c>
      <c r="J44" s="57">
        <f>E44*0.06%</f>
        <v>5.9999999999999993E-3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150</v>
      </c>
      <c r="R44" s="57">
        <f>C44/1000*150</f>
        <v>1.5</v>
      </c>
    </row>
    <row r="45" spans="1:18" s="30" customFormat="1" ht="26.25">
      <c r="A45" s="61"/>
      <c r="B45" s="56" t="s">
        <v>72</v>
      </c>
      <c r="C45" s="88">
        <v>40</v>
      </c>
      <c r="D45" s="57">
        <f>C45*20%</f>
        <v>8</v>
      </c>
      <c r="E45" s="57">
        <f>C45-D45</f>
        <v>32</v>
      </c>
      <c r="F45" s="57">
        <f>E45*2%</f>
        <v>0.64</v>
      </c>
      <c r="G45" s="57">
        <f>E45*0.4%</f>
        <v>0.128</v>
      </c>
      <c r="H45" s="57">
        <f>E45*16.3%</f>
        <v>5.2160000000000002</v>
      </c>
      <c r="I45" s="57">
        <f>E45*80%</f>
        <v>25.6</v>
      </c>
      <c r="J45" s="57">
        <f>E45*0.12%</f>
        <v>3.8399999999999997E-2</v>
      </c>
      <c r="K45" s="57">
        <f>E45*20%</f>
        <v>6.4</v>
      </c>
      <c r="L45" s="57">
        <v>0</v>
      </c>
      <c r="M45" s="57">
        <f>E45*10%</f>
        <v>3.2</v>
      </c>
      <c r="N45" s="57">
        <f>E45*58%</f>
        <v>18.559999999999999</v>
      </c>
      <c r="O45" s="57">
        <f>E45*23%</f>
        <v>7.36</v>
      </c>
      <c r="P45" s="57">
        <f>E45*0.9%</f>
        <v>0.28800000000000003</v>
      </c>
      <c r="Q45" s="57">
        <v>57</v>
      </c>
      <c r="R45" s="57">
        <f>C45/1000*57</f>
        <v>2.2800000000000002</v>
      </c>
    </row>
    <row r="46" spans="1:18" s="30" customFormat="1" ht="26.25">
      <c r="A46" s="61"/>
      <c r="B46" s="52" t="s">
        <v>69</v>
      </c>
      <c r="C46" s="96">
        <f>C45+C44+C43+C42+C41+C40</f>
        <v>183</v>
      </c>
      <c r="D46" s="59">
        <f>SUM(D43:D45)</f>
        <v>18</v>
      </c>
      <c r="E46" s="59">
        <v>250</v>
      </c>
      <c r="F46" s="59">
        <f t="shared" ref="F46:P46" si="4">SUM(F43:F45)</f>
        <v>1.24</v>
      </c>
      <c r="G46" s="59">
        <f t="shared" si="4"/>
        <v>10.157999999999999</v>
      </c>
      <c r="H46" s="59">
        <f t="shared" si="4"/>
        <v>8.8559999999999999</v>
      </c>
      <c r="I46" s="59">
        <f t="shared" si="4"/>
        <v>132.30000000000001</v>
      </c>
      <c r="J46" s="59">
        <f t="shared" si="4"/>
        <v>5.2399999999999995E-2</v>
      </c>
      <c r="K46" s="59">
        <f t="shared" si="4"/>
        <v>10.4</v>
      </c>
      <c r="L46" s="59">
        <f t="shared" si="4"/>
        <v>0</v>
      </c>
      <c r="M46" s="59">
        <f t="shared" si="4"/>
        <v>18</v>
      </c>
      <c r="N46" s="59">
        <f t="shared" si="4"/>
        <v>35.76</v>
      </c>
      <c r="O46" s="59">
        <f t="shared" si="4"/>
        <v>16.16</v>
      </c>
      <c r="P46" s="59">
        <f t="shared" si="4"/>
        <v>0.84799999999999998</v>
      </c>
      <c r="Q46" s="59"/>
      <c r="R46" s="59">
        <f>SUM(R39:R45)</f>
        <v>12.510000000000002</v>
      </c>
    </row>
    <row r="47" spans="1:18" s="30" customFormat="1" ht="26.25">
      <c r="A47" s="61"/>
      <c r="B47" s="53" t="s">
        <v>104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</row>
    <row r="48" spans="1:18" s="30" customFormat="1" ht="26.25">
      <c r="A48" s="61"/>
      <c r="B48" s="59" t="s">
        <v>69</v>
      </c>
      <c r="C48" s="59">
        <v>50</v>
      </c>
      <c r="D48" s="59">
        <v>0</v>
      </c>
      <c r="E48" s="59">
        <v>50</v>
      </c>
      <c r="F48" s="59">
        <f>E48*7.9%</f>
        <v>3.95</v>
      </c>
      <c r="G48" s="59">
        <f>E48*1%</f>
        <v>0.5</v>
      </c>
      <c r="H48" s="59">
        <f>E48*48.1%</f>
        <v>24.05</v>
      </c>
      <c r="I48" s="59">
        <f>E48*239%</f>
        <v>119.5</v>
      </c>
      <c r="J48" s="59">
        <f>E48*0.16%</f>
        <v>0.08</v>
      </c>
      <c r="K48" s="59">
        <v>0</v>
      </c>
      <c r="L48" s="59">
        <v>0</v>
      </c>
      <c r="M48" s="59">
        <f>E48*23%</f>
        <v>11.5</v>
      </c>
      <c r="N48" s="59">
        <f>E48*87%</f>
        <v>43.5</v>
      </c>
      <c r="O48" s="59">
        <f>E48*33%</f>
        <v>16.5</v>
      </c>
      <c r="P48" s="59">
        <f>E48*2%</f>
        <v>1</v>
      </c>
      <c r="Q48" s="59">
        <v>50</v>
      </c>
      <c r="R48" s="59">
        <f>C48/1000*50</f>
        <v>2.5</v>
      </c>
    </row>
    <row r="49" spans="1:18" s="30" customFormat="1" ht="26.25">
      <c r="A49" s="60"/>
      <c r="B49" s="100" t="s">
        <v>105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2"/>
    </row>
    <row r="50" spans="1:18" s="30" customFormat="1" ht="26.25">
      <c r="A50" s="61"/>
      <c r="B50" s="57" t="s">
        <v>52</v>
      </c>
      <c r="C50" s="57">
        <v>1</v>
      </c>
      <c r="D50" s="57">
        <v>0</v>
      </c>
      <c r="E50" s="57">
        <f>C50-D50</f>
        <v>1</v>
      </c>
      <c r="F50" s="57">
        <f>E50*21.74%</f>
        <v>0.21739999999999998</v>
      </c>
      <c r="G50" s="57">
        <f>E50*7.61%</f>
        <v>7.6100000000000001E-2</v>
      </c>
      <c r="H50" s="57">
        <f>E50*2.86%</f>
        <v>2.86E-2</v>
      </c>
      <c r="I50" s="57">
        <f>E50*9.18%</f>
        <v>9.1799999999999993E-2</v>
      </c>
      <c r="J50" s="57">
        <f>E50*4.7%</f>
        <v>4.7E-2</v>
      </c>
      <c r="K50" s="57">
        <f>E50*11%</f>
        <v>0.11</v>
      </c>
      <c r="L50" s="57">
        <f>E50*5.6%</f>
        <v>5.5999999999999994E-2</v>
      </c>
      <c r="M50" s="57">
        <f>E50*50%</f>
        <v>0.5</v>
      </c>
      <c r="N50" s="57">
        <f>E50*10%</f>
        <v>0.1</v>
      </c>
      <c r="O50" s="57">
        <f>E50*110%</f>
        <v>1.1000000000000001</v>
      </c>
      <c r="P50" s="57">
        <f>E50*456%</f>
        <v>4.5599999999999996</v>
      </c>
      <c r="Q50" s="57">
        <v>950</v>
      </c>
      <c r="R50" s="57">
        <f>C50/1000*950</f>
        <v>0.95000000000000007</v>
      </c>
    </row>
    <row r="51" spans="1:18" s="30" customFormat="1" ht="26.25">
      <c r="A51" s="60"/>
      <c r="B51" s="57" t="s">
        <v>68</v>
      </c>
      <c r="C51" s="57">
        <v>15</v>
      </c>
      <c r="D51" s="57">
        <v>0</v>
      </c>
      <c r="E51" s="57">
        <v>15</v>
      </c>
      <c r="F51" s="57">
        <v>0</v>
      </c>
      <c r="G51" s="57">
        <v>0</v>
      </c>
      <c r="H51" s="57">
        <f>E51*99.8%</f>
        <v>14.97</v>
      </c>
      <c r="I51" s="57">
        <f>E51*379%</f>
        <v>56.85</v>
      </c>
      <c r="J51" s="57">
        <v>0</v>
      </c>
      <c r="K51" s="57">
        <v>0</v>
      </c>
      <c r="L51" s="57">
        <v>0</v>
      </c>
      <c r="M51" s="57">
        <f>E51*2%</f>
        <v>0.3</v>
      </c>
      <c r="N51" s="57">
        <v>0</v>
      </c>
      <c r="O51" s="57">
        <v>0</v>
      </c>
      <c r="P51" s="57">
        <f>E51*0.3%</f>
        <v>4.4999999999999998E-2</v>
      </c>
      <c r="Q51" s="57">
        <v>60</v>
      </c>
      <c r="R51" s="57">
        <f>C51/1000*60</f>
        <v>0.89999999999999991</v>
      </c>
    </row>
    <row r="52" spans="1:18" s="30" customFormat="1" ht="26.25">
      <c r="A52" s="60"/>
      <c r="B52" s="59" t="s">
        <v>69</v>
      </c>
      <c r="C52" s="59">
        <f>SUM(C50:C51)</f>
        <v>16</v>
      </c>
      <c r="D52" s="59">
        <f>SUM(D51:D51)</f>
        <v>0</v>
      </c>
      <c r="E52" s="59">
        <v>150</v>
      </c>
      <c r="F52" s="59">
        <f t="shared" ref="F52:P52" si="5">SUM(F51:F51)</f>
        <v>0</v>
      </c>
      <c r="G52" s="59">
        <f t="shared" si="5"/>
        <v>0</v>
      </c>
      <c r="H52" s="59">
        <f t="shared" si="5"/>
        <v>14.97</v>
      </c>
      <c r="I52" s="59">
        <f t="shared" si="5"/>
        <v>56.85</v>
      </c>
      <c r="J52" s="59">
        <f t="shared" si="5"/>
        <v>0</v>
      </c>
      <c r="K52" s="59">
        <f t="shared" si="5"/>
        <v>0</v>
      </c>
      <c r="L52" s="59">
        <f t="shared" si="5"/>
        <v>0</v>
      </c>
      <c r="M52" s="59">
        <f t="shared" si="5"/>
        <v>0.3</v>
      </c>
      <c r="N52" s="59">
        <f t="shared" si="5"/>
        <v>0</v>
      </c>
      <c r="O52" s="59">
        <f t="shared" si="5"/>
        <v>0</v>
      </c>
      <c r="P52" s="59">
        <f t="shared" si="5"/>
        <v>4.4999999999999998E-2</v>
      </c>
      <c r="Q52" s="59"/>
      <c r="R52" s="59">
        <f>SUM(R50:R51)</f>
        <v>1.85</v>
      </c>
    </row>
    <row r="53" spans="1:18" s="30" customFormat="1" ht="26.25">
      <c r="A53" s="61"/>
      <c r="B53" s="62" t="s">
        <v>113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s="30" customFormat="1" ht="26.25">
      <c r="A54" s="61"/>
      <c r="B54" s="59" t="s">
        <v>69</v>
      </c>
      <c r="C54" s="59">
        <v>150</v>
      </c>
      <c r="D54" s="59">
        <v>0</v>
      </c>
      <c r="E54" s="59">
        <f>C54-D54</f>
        <v>150</v>
      </c>
      <c r="F54" s="59">
        <f>E54*0.4%</f>
        <v>0.6</v>
      </c>
      <c r="G54" s="59">
        <f>E54*0.4%</f>
        <v>0.6</v>
      </c>
      <c r="H54" s="59">
        <f>E54*9.8%</f>
        <v>14.700000000000001</v>
      </c>
      <c r="I54" s="59">
        <f>E54*45%</f>
        <v>67.5</v>
      </c>
      <c r="J54" s="59">
        <f>E54*0.03%</f>
        <v>4.4999999999999998E-2</v>
      </c>
      <c r="K54" s="59">
        <f>E54*13%</f>
        <v>19.5</v>
      </c>
      <c r="L54" s="59">
        <v>0</v>
      </c>
      <c r="M54" s="59">
        <f>E54*16%</f>
        <v>24</v>
      </c>
      <c r="N54" s="59">
        <f>E54*11%</f>
        <v>16.5</v>
      </c>
      <c r="O54" s="59">
        <f>E54*9%</f>
        <v>13.5</v>
      </c>
      <c r="P54" s="59">
        <f>E54*2.2%</f>
        <v>3.3000000000000003</v>
      </c>
      <c r="Q54" s="59">
        <v>78</v>
      </c>
      <c r="R54" s="59">
        <f>C54/1000*78</f>
        <v>11.7</v>
      </c>
    </row>
    <row r="55" spans="1:18" s="30" customFormat="1" ht="21.75" customHeight="1">
      <c r="A55" s="60"/>
      <c r="B55" s="66" t="s">
        <v>106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8"/>
    </row>
    <row r="56" spans="1:18" s="30" customFormat="1" ht="19.5" customHeight="1">
      <c r="A56" s="60"/>
      <c r="B56" s="59" t="s">
        <v>69</v>
      </c>
      <c r="C56" s="69">
        <v>3</v>
      </c>
      <c r="D56" s="59">
        <v>0</v>
      </c>
      <c r="E56" s="69">
        <f>C56-D56</f>
        <v>3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20</v>
      </c>
      <c r="R56" s="69">
        <f>C56/1000*20</f>
        <v>0.06</v>
      </c>
    </row>
    <row r="57" spans="1:18" s="30" customFormat="1" ht="19.5" customHeight="1">
      <c r="A57" s="60"/>
      <c r="B57" s="59"/>
      <c r="C57" s="69"/>
      <c r="D57" s="59"/>
      <c r="E57" s="6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69"/>
    </row>
    <row r="58" spans="1:18" s="30" customFormat="1" ht="25.5" customHeight="1">
      <c r="A58" s="60"/>
      <c r="B58" s="59" t="s">
        <v>69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>
        <f>R56+R54+R52+R48+R46+R37</f>
        <v>60.989999999999995</v>
      </c>
    </row>
    <row r="59" spans="1:18" s="72" customFormat="1" ht="38.25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s="72" customFormat="1" ht="38.25" customHeight="1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1:18" s="30" customFormat="1" ht="26.25">
      <c r="A61" s="60"/>
      <c r="B61" s="73" t="s">
        <v>0</v>
      </c>
      <c r="C61" s="74" t="s">
        <v>18</v>
      </c>
      <c r="D61" s="75" t="s">
        <v>20</v>
      </c>
      <c r="E61" s="75" t="s">
        <v>19</v>
      </c>
      <c r="F61" s="35" t="s">
        <v>1</v>
      </c>
      <c r="G61" s="35" t="s">
        <v>2</v>
      </c>
      <c r="H61" s="35" t="s">
        <v>3</v>
      </c>
      <c r="I61" s="35" t="s">
        <v>4</v>
      </c>
      <c r="J61" s="76" t="s">
        <v>5</v>
      </c>
      <c r="K61" s="76"/>
      <c r="L61" s="76"/>
      <c r="M61" s="76" t="s">
        <v>6</v>
      </c>
      <c r="N61" s="76"/>
      <c r="O61" s="76"/>
      <c r="P61" s="76"/>
      <c r="Q61" s="35" t="s">
        <v>66</v>
      </c>
      <c r="R61" s="105" t="s">
        <v>115</v>
      </c>
    </row>
    <row r="62" spans="1:18" s="30" customFormat="1" ht="26.25">
      <c r="A62" s="60"/>
      <c r="B62" s="73"/>
      <c r="C62" s="78"/>
      <c r="D62" s="79"/>
      <c r="E62" s="79"/>
      <c r="F62" s="44"/>
      <c r="G62" s="44"/>
      <c r="H62" s="44"/>
      <c r="I62" s="44"/>
      <c r="J62" s="35" t="s">
        <v>7</v>
      </c>
      <c r="K62" s="34" t="s">
        <v>8</v>
      </c>
      <c r="L62" s="35" t="s">
        <v>9</v>
      </c>
      <c r="M62" s="35" t="s">
        <v>10</v>
      </c>
      <c r="N62" s="35" t="s">
        <v>11</v>
      </c>
      <c r="O62" s="35" t="s">
        <v>12</v>
      </c>
      <c r="P62" s="35" t="s">
        <v>13</v>
      </c>
      <c r="Q62" s="44"/>
      <c r="R62" s="106"/>
    </row>
    <row r="63" spans="1:18" s="30" customFormat="1" ht="26.25">
      <c r="A63" s="60"/>
      <c r="B63" s="81" t="s">
        <v>76</v>
      </c>
      <c r="C63" s="82"/>
      <c r="D63" s="83"/>
      <c r="E63" s="83"/>
      <c r="F63" s="50"/>
      <c r="G63" s="50"/>
      <c r="H63" s="50"/>
      <c r="I63" s="50"/>
      <c r="J63" s="50"/>
      <c r="K63" s="49"/>
      <c r="L63" s="50"/>
      <c r="M63" s="50"/>
      <c r="N63" s="50"/>
      <c r="O63" s="50"/>
      <c r="P63" s="50"/>
      <c r="Q63" s="50"/>
      <c r="R63" s="107"/>
    </row>
    <row r="64" spans="1:18" s="111" customFormat="1" ht="26.25">
      <c r="A64" s="108" t="s">
        <v>103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10"/>
    </row>
    <row r="65" spans="1:18" s="30" customFormat="1" ht="26.25">
      <c r="A65" s="60"/>
      <c r="B65" s="56" t="s">
        <v>72</v>
      </c>
      <c r="C65" s="57">
        <v>160</v>
      </c>
      <c r="D65" s="57">
        <f>C65*0.25</f>
        <v>40</v>
      </c>
      <c r="E65" s="57">
        <f>C65-D65</f>
        <v>120</v>
      </c>
      <c r="F65" s="57">
        <f>E65*2%</f>
        <v>2.4</v>
      </c>
      <c r="G65" s="57">
        <f>E65*0.4%</f>
        <v>0.48</v>
      </c>
      <c r="H65" s="57">
        <f>E65*16.3%</f>
        <v>19.560000000000002</v>
      </c>
      <c r="I65" s="57">
        <f>E65*80%</f>
        <v>96</v>
      </c>
      <c r="J65" s="57">
        <f>E65*0.12%</f>
        <v>0.14399999999999999</v>
      </c>
      <c r="K65" s="57">
        <f>E65*20%</f>
        <v>24</v>
      </c>
      <c r="L65" s="57">
        <v>0</v>
      </c>
      <c r="M65" s="57">
        <f>E65*10%</f>
        <v>12</v>
      </c>
      <c r="N65" s="57">
        <f>E65*58%</f>
        <v>69.599999999999994</v>
      </c>
      <c r="O65" s="57">
        <f>E65*23%</f>
        <v>27.6</v>
      </c>
      <c r="P65" s="57">
        <f>E65*0.9%</f>
        <v>1.08</v>
      </c>
      <c r="Q65" s="57">
        <v>57</v>
      </c>
      <c r="R65" s="57">
        <f>C65/1000*57</f>
        <v>9.120000000000001</v>
      </c>
    </row>
    <row r="66" spans="1:18" s="30" customFormat="1" ht="26.25">
      <c r="A66" s="60"/>
      <c r="B66" s="56" t="s">
        <v>22</v>
      </c>
      <c r="C66" s="57">
        <v>15</v>
      </c>
      <c r="D66" s="57">
        <v>0</v>
      </c>
      <c r="E66" s="57">
        <f>C66-D66</f>
        <v>15</v>
      </c>
      <c r="F66" s="57">
        <f>E66*0.5%</f>
        <v>7.4999999999999997E-2</v>
      </c>
      <c r="G66" s="57">
        <f>E66*82.5%</f>
        <v>12.375</v>
      </c>
      <c r="H66" s="57">
        <f>E66*0.8%</f>
        <v>0.12</v>
      </c>
      <c r="I66" s="57">
        <f>E66*748%</f>
        <v>112.2</v>
      </c>
      <c r="J66" s="57">
        <v>0</v>
      </c>
      <c r="K66" s="57">
        <v>0</v>
      </c>
      <c r="L66" s="57">
        <f>E66*0.59%</f>
        <v>8.8499999999999995E-2</v>
      </c>
      <c r="M66" s="57">
        <f>E66*12%</f>
        <v>1.7999999999999998</v>
      </c>
      <c r="N66" s="57">
        <f>E66*19%</f>
        <v>2.85</v>
      </c>
      <c r="O66" s="57">
        <f>E66*0.4%</f>
        <v>0.06</v>
      </c>
      <c r="P66" s="57">
        <f>E66*0.2%</f>
        <v>0.03</v>
      </c>
      <c r="Q66" s="57">
        <v>480</v>
      </c>
      <c r="R66" s="58">
        <f>C66/1000*480</f>
        <v>7.1999999999999993</v>
      </c>
    </row>
    <row r="67" spans="1:18" s="30" customFormat="1" ht="26.25">
      <c r="A67" s="60"/>
      <c r="B67" s="89" t="s">
        <v>69</v>
      </c>
      <c r="C67" s="59">
        <f t="shared" ref="C67:P67" si="6">SUM(C65:C66)</f>
        <v>175</v>
      </c>
      <c r="D67" s="59">
        <f t="shared" si="6"/>
        <v>40</v>
      </c>
      <c r="E67" s="59">
        <f t="shared" si="6"/>
        <v>135</v>
      </c>
      <c r="F67" s="59">
        <f t="shared" si="6"/>
        <v>2.4750000000000001</v>
      </c>
      <c r="G67" s="59">
        <f t="shared" si="6"/>
        <v>12.855</v>
      </c>
      <c r="H67" s="59">
        <f t="shared" si="6"/>
        <v>19.680000000000003</v>
      </c>
      <c r="I67" s="59">
        <f t="shared" si="6"/>
        <v>208.2</v>
      </c>
      <c r="J67" s="59">
        <f t="shared" si="6"/>
        <v>0.14399999999999999</v>
      </c>
      <c r="K67" s="59">
        <f t="shared" si="6"/>
        <v>24</v>
      </c>
      <c r="L67" s="59">
        <f t="shared" si="6"/>
        <v>8.8499999999999995E-2</v>
      </c>
      <c r="M67" s="59">
        <f t="shared" si="6"/>
        <v>13.8</v>
      </c>
      <c r="N67" s="59">
        <f t="shared" si="6"/>
        <v>72.449999999999989</v>
      </c>
      <c r="O67" s="59">
        <f t="shared" si="6"/>
        <v>27.66</v>
      </c>
      <c r="P67" s="59">
        <f t="shared" si="6"/>
        <v>1.1100000000000001</v>
      </c>
      <c r="Q67" s="59"/>
      <c r="R67" s="59">
        <f>SUM(R65:R66)</f>
        <v>16.32</v>
      </c>
    </row>
    <row r="68" spans="1:18" s="30" customFormat="1" ht="26.25">
      <c r="A68" s="60"/>
      <c r="B68" s="53" t="s">
        <v>108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9"/>
    </row>
    <row r="69" spans="1:18" s="30" customFormat="1" ht="26.25">
      <c r="A69" s="60"/>
      <c r="B69" s="56" t="s">
        <v>74</v>
      </c>
      <c r="C69" s="57">
        <v>100</v>
      </c>
      <c r="D69" s="57">
        <f>C69*25%</f>
        <v>25</v>
      </c>
      <c r="E69" s="57">
        <f>C69-D69</f>
        <v>75</v>
      </c>
      <c r="F69" s="57">
        <f>E69*18.2%</f>
        <v>13.65</v>
      </c>
      <c r="G69" s="57">
        <f>E69*18.4%</f>
        <v>13.799999999999999</v>
      </c>
      <c r="H69" s="57">
        <f>E69*0.7%</f>
        <v>0.52499999999999991</v>
      </c>
      <c r="I69" s="57">
        <f>E69*241%</f>
        <v>180.75</v>
      </c>
      <c r="J69" s="57">
        <f>E69*0.07%</f>
        <v>5.2500000000000005E-2</v>
      </c>
      <c r="K69" s="57">
        <v>0</v>
      </c>
      <c r="L69" s="57">
        <f>E69*0.07%</f>
        <v>5.2500000000000005E-2</v>
      </c>
      <c r="M69" s="57">
        <f>E69*16%</f>
        <v>12</v>
      </c>
      <c r="N69" s="57">
        <f>E69*165%</f>
        <v>123.75</v>
      </c>
      <c r="O69" s="57">
        <f>E69*18%</f>
        <v>13.5</v>
      </c>
      <c r="P69" s="57">
        <f>E69*1.6%</f>
        <v>1.2</v>
      </c>
      <c r="Q69" s="57">
        <v>270</v>
      </c>
      <c r="R69" s="57">
        <f>C69/1000*270</f>
        <v>27</v>
      </c>
    </row>
    <row r="70" spans="1:18" s="30" customFormat="1" ht="26.25">
      <c r="A70" s="60"/>
      <c r="B70" s="59" t="s">
        <v>69</v>
      </c>
      <c r="C70" s="59">
        <f>SUM(C69:C69)</f>
        <v>100</v>
      </c>
      <c r="D70" s="59">
        <f>SUM(D69:D69)</f>
        <v>25</v>
      </c>
      <c r="E70" s="59">
        <f>C70-D70</f>
        <v>75</v>
      </c>
      <c r="F70" s="59">
        <f t="shared" ref="F70:P70" si="7">SUM(F69:F69)</f>
        <v>13.65</v>
      </c>
      <c r="G70" s="59">
        <f t="shared" si="7"/>
        <v>13.799999999999999</v>
      </c>
      <c r="H70" s="59">
        <f t="shared" si="7"/>
        <v>0.52499999999999991</v>
      </c>
      <c r="I70" s="59">
        <f t="shared" si="7"/>
        <v>180.75</v>
      </c>
      <c r="J70" s="59">
        <f t="shared" si="7"/>
        <v>5.2500000000000005E-2</v>
      </c>
      <c r="K70" s="59">
        <f t="shared" si="7"/>
        <v>0</v>
      </c>
      <c r="L70" s="59">
        <f t="shared" si="7"/>
        <v>5.2500000000000005E-2</v>
      </c>
      <c r="M70" s="59">
        <f t="shared" si="7"/>
        <v>12</v>
      </c>
      <c r="N70" s="59">
        <f t="shared" si="7"/>
        <v>123.75</v>
      </c>
      <c r="O70" s="59">
        <f t="shared" si="7"/>
        <v>13.5</v>
      </c>
      <c r="P70" s="59">
        <f t="shared" si="7"/>
        <v>1.2</v>
      </c>
      <c r="Q70" s="59"/>
      <c r="R70" s="59">
        <f t="shared" ref="R70" si="8">SUM(R69:R69)</f>
        <v>27</v>
      </c>
    </row>
    <row r="71" spans="1:18" s="30" customFormat="1" ht="26.25">
      <c r="A71" s="60"/>
      <c r="B71" s="62" t="s">
        <v>104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4"/>
    </row>
    <row r="72" spans="1:18" s="30" customFormat="1" ht="26.25">
      <c r="A72" s="60"/>
      <c r="B72" s="59" t="s">
        <v>69</v>
      </c>
      <c r="C72" s="59">
        <v>50</v>
      </c>
      <c r="D72" s="59">
        <v>0</v>
      </c>
      <c r="E72" s="59">
        <v>50</v>
      </c>
      <c r="F72" s="59">
        <f>E72*7.9%</f>
        <v>3.95</v>
      </c>
      <c r="G72" s="59">
        <f>E72*1%</f>
        <v>0.5</v>
      </c>
      <c r="H72" s="59">
        <f>E72*48.1%</f>
        <v>24.05</v>
      </c>
      <c r="I72" s="59">
        <f>E72*239%</f>
        <v>119.5</v>
      </c>
      <c r="J72" s="59">
        <f>E72*0.16%</f>
        <v>0.08</v>
      </c>
      <c r="K72" s="59">
        <v>0</v>
      </c>
      <c r="L72" s="59">
        <v>0</v>
      </c>
      <c r="M72" s="59">
        <f>E72*23%</f>
        <v>11.5</v>
      </c>
      <c r="N72" s="59">
        <f>E72*87%</f>
        <v>43.5</v>
      </c>
      <c r="O72" s="59">
        <f>E72*33%</f>
        <v>16.5</v>
      </c>
      <c r="P72" s="59">
        <f>E72*2%</f>
        <v>1</v>
      </c>
      <c r="Q72" s="59">
        <v>50</v>
      </c>
      <c r="R72" s="59">
        <f>C72/1000*50</f>
        <v>2.5</v>
      </c>
    </row>
    <row r="73" spans="1:18" s="30" customFormat="1" ht="26.25">
      <c r="A73" s="61"/>
      <c r="B73" s="62" t="s">
        <v>110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</row>
    <row r="74" spans="1:18" s="30" customFormat="1" ht="26.25">
      <c r="A74" s="61"/>
      <c r="B74" s="57" t="s">
        <v>67</v>
      </c>
      <c r="C74" s="57">
        <v>15</v>
      </c>
      <c r="D74" s="57">
        <v>0</v>
      </c>
      <c r="E74" s="57">
        <v>15</v>
      </c>
      <c r="F74" s="57">
        <f>E74*5.2%</f>
        <v>0.78</v>
      </c>
      <c r="G74" s="57">
        <v>0</v>
      </c>
      <c r="H74" s="57">
        <f>E74*55%</f>
        <v>8.25</v>
      </c>
      <c r="I74" s="57">
        <f>E74*234%</f>
        <v>35.099999999999994</v>
      </c>
      <c r="J74" s="57">
        <f>E74*0.1%</f>
        <v>1.4999999999999999E-2</v>
      </c>
      <c r="K74" s="57">
        <f>E74*4%</f>
        <v>0.6</v>
      </c>
      <c r="L74" s="57">
        <v>0</v>
      </c>
      <c r="M74" s="57">
        <f>E74*160%</f>
        <v>24</v>
      </c>
      <c r="N74" s="57">
        <f>E74*146%</f>
        <v>21.9</v>
      </c>
      <c r="O74" s="57">
        <f>E74*105%</f>
        <v>15.75</v>
      </c>
      <c r="P74" s="57">
        <f>E74*3.2%</f>
        <v>0.48</v>
      </c>
      <c r="Q74" s="57">
        <v>350</v>
      </c>
      <c r="R74" s="57">
        <f>C74/1000*350</f>
        <v>5.25</v>
      </c>
    </row>
    <row r="75" spans="1:18" s="30" customFormat="1" ht="26.25">
      <c r="A75" s="61"/>
      <c r="B75" s="57" t="s">
        <v>68</v>
      </c>
      <c r="C75" s="57">
        <v>10</v>
      </c>
      <c r="D75" s="57">
        <v>0</v>
      </c>
      <c r="E75" s="57">
        <v>10</v>
      </c>
      <c r="F75" s="57">
        <v>0</v>
      </c>
      <c r="G75" s="57">
        <v>0</v>
      </c>
      <c r="H75" s="57">
        <f>E75*99.8%</f>
        <v>9.98</v>
      </c>
      <c r="I75" s="57">
        <f>E75*379%</f>
        <v>37.9</v>
      </c>
      <c r="J75" s="57">
        <v>0</v>
      </c>
      <c r="K75" s="57">
        <v>0</v>
      </c>
      <c r="L75" s="57">
        <v>0</v>
      </c>
      <c r="M75" s="57">
        <f>E75*2%</f>
        <v>0.2</v>
      </c>
      <c r="N75" s="57">
        <v>0</v>
      </c>
      <c r="O75" s="57">
        <v>0</v>
      </c>
      <c r="P75" s="57">
        <f>E75*0.3%</f>
        <v>0.03</v>
      </c>
      <c r="Q75" s="57">
        <v>60</v>
      </c>
      <c r="R75" s="57">
        <f>C75/1000*60</f>
        <v>0.6</v>
      </c>
    </row>
    <row r="76" spans="1:18" s="30" customFormat="1" ht="26.25">
      <c r="A76" s="61"/>
      <c r="B76" s="59" t="s">
        <v>69</v>
      </c>
      <c r="C76" s="59">
        <v>25</v>
      </c>
      <c r="D76" s="59">
        <f>SUM(D74:D75)</f>
        <v>0</v>
      </c>
      <c r="E76" s="59">
        <v>150</v>
      </c>
      <c r="F76" s="59">
        <f t="shared" ref="F76:P76" si="9">SUM(F74:F75)</f>
        <v>0.78</v>
      </c>
      <c r="G76" s="59">
        <f t="shared" si="9"/>
        <v>0</v>
      </c>
      <c r="H76" s="59">
        <f t="shared" si="9"/>
        <v>18.23</v>
      </c>
      <c r="I76" s="59">
        <f t="shared" si="9"/>
        <v>73</v>
      </c>
      <c r="J76" s="59">
        <f t="shared" si="9"/>
        <v>1.4999999999999999E-2</v>
      </c>
      <c r="K76" s="59">
        <f t="shared" si="9"/>
        <v>0.6</v>
      </c>
      <c r="L76" s="59">
        <f t="shared" si="9"/>
        <v>0</v>
      </c>
      <c r="M76" s="59">
        <f t="shared" si="9"/>
        <v>24.2</v>
      </c>
      <c r="N76" s="59">
        <f t="shared" si="9"/>
        <v>21.9</v>
      </c>
      <c r="O76" s="59">
        <f t="shared" si="9"/>
        <v>15.75</v>
      </c>
      <c r="P76" s="59">
        <f t="shared" si="9"/>
        <v>0.51</v>
      </c>
      <c r="Q76" s="59"/>
      <c r="R76" s="59">
        <f>SUM(R74:R75)</f>
        <v>5.85</v>
      </c>
    </row>
    <row r="77" spans="1:18" s="30" customFormat="1" ht="26.25">
      <c r="A77" s="60"/>
      <c r="B77" s="62" t="s">
        <v>136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4"/>
    </row>
    <row r="78" spans="1:18" s="30" customFormat="1" ht="26.25">
      <c r="A78" s="60"/>
      <c r="B78" s="59" t="s">
        <v>69</v>
      </c>
      <c r="C78" s="59">
        <v>147</v>
      </c>
      <c r="D78" s="59">
        <v>0</v>
      </c>
      <c r="E78" s="59">
        <v>150</v>
      </c>
      <c r="F78" s="59">
        <f>E78*0.08%</f>
        <v>0.12000000000000001</v>
      </c>
      <c r="G78" s="59">
        <v>0</v>
      </c>
      <c r="H78" s="59">
        <f>E78*9.6%</f>
        <v>14.4</v>
      </c>
      <c r="I78" s="59">
        <f>E78*43%</f>
        <v>64.5</v>
      </c>
      <c r="J78" s="59">
        <f>E78*0.06%</f>
        <v>0.09</v>
      </c>
      <c r="K78" s="59">
        <f>E78*10%</f>
        <v>15</v>
      </c>
      <c r="L78" s="59">
        <v>0</v>
      </c>
      <c r="M78" s="59">
        <f>E78*20%</f>
        <v>30</v>
      </c>
      <c r="N78" s="59">
        <f>E78*20%</f>
        <v>30</v>
      </c>
      <c r="O78" s="59">
        <f>E78*9%</f>
        <v>13.5</v>
      </c>
      <c r="P78" s="59">
        <f>E78*0.5%</f>
        <v>0.75</v>
      </c>
      <c r="Q78" s="59">
        <v>63</v>
      </c>
      <c r="R78" s="59">
        <f>C78/1000*63</f>
        <v>9.2609999999999992</v>
      </c>
    </row>
    <row r="79" spans="1:18" s="30" customFormat="1" ht="26.25">
      <c r="A79" s="60"/>
      <c r="B79" s="66" t="s">
        <v>106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8"/>
    </row>
    <row r="80" spans="1:18" s="30" customFormat="1" ht="26.25">
      <c r="A80" s="60"/>
      <c r="B80" s="59" t="s">
        <v>69</v>
      </c>
      <c r="C80" s="69">
        <v>3</v>
      </c>
      <c r="D80" s="59">
        <v>0</v>
      </c>
      <c r="E80" s="69">
        <f>C80-D80</f>
        <v>3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20</v>
      </c>
      <c r="R80" s="69">
        <f>C80/1000*20</f>
        <v>0.06</v>
      </c>
    </row>
    <row r="81" spans="1:18" s="30" customFormat="1" ht="26.25">
      <c r="A81" s="60"/>
      <c r="B81" s="59"/>
      <c r="C81" s="69"/>
      <c r="D81" s="59"/>
      <c r="E81" s="6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69"/>
    </row>
    <row r="82" spans="1:18" s="30" customFormat="1" ht="26.25">
      <c r="A82" s="60"/>
      <c r="B82" s="112" t="s">
        <v>69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9">
        <f>R80+R78+R76+R72+R70+R67</f>
        <v>60.991</v>
      </c>
    </row>
    <row r="83" spans="1:18" s="71" customFormat="1" ht="23.25" customHeight="1"/>
    <row r="84" spans="1:18" s="71" customFormat="1" ht="23.25" customHeight="1"/>
    <row r="85" spans="1:18" s="71" customFormat="1" ht="15.75" customHeight="1"/>
    <row r="86" spans="1:18" s="30" customFormat="1" ht="18.75" customHeight="1">
      <c r="A86" s="113"/>
      <c r="B86" s="114" t="s">
        <v>0</v>
      </c>
      <c r="C86" s="115" t="s">
        <v>96</v>
      </c>
      <c r="D86" s="116" t="s">
        <v>20</v>
      </c>
      <c r="E86" s="116" t="s">
        <v>19</v>
      </c>
      <c r="F86" s="117" t="s">
        <v>1</v>
      </c>
      <c r="G86" s="117" t="s">
        <v>2</v>
      </c>
      <c r="H86" s="117" t="s">
        <v>3</v>
      </c>
      <c r="I86" s="117" t="s">
        <v>4</v>
      </c>
      <c r="J86" s="118" t="s">
        <v>5</v>
      </c>
      <c r="K86" s="119"/>
      <c r="L86" s="120"/>
      <c r="M86" s="118" t="s">
        <v>6</v>
      </c>
      <c r="N86" s="119"/>
      <c r="O86" s="119"/>
      <c r="P86" s="120"/>
      <c r="Q86" s="117" t="s">
        <v>66</v>
      </c>
      <c r="R86" s="121" t="s">
        <v>114</v>
      </c>
    </row>
    <row r="87" spans="1:18" s="30" customFormat="1" ht="27.75" customHeight="1">
      <c r="A87" s="122"/>
      <c r="B87" s="123"/>
      <c r="C87" s="124"/>
      <c r="D87" s="125"/>
      <c r="E87" s="125"/>
      <c r="F87" s="126"/>
      <c r="G87" s="126"/>
      <c r="H87" s="126"/>
      <c r="I87" s="126"/>
      <c r="J87" s="117" t="s">
        <v>7</v>
      </c>
      <c r="K87" s="116" t="s">
        <v>8</v>
      </c>
      <c r="L87" s="117" t="s">
        <v>9</v>
      </c>
      <c r="M87" s="117" t="s">
        <v>10</v>
      </c>
      <c r="N87" s="117" t="s">
        <v>11</v>
      </c>
      <c r="O87" s="117" t="s">
        <v>12</v>
      </c>
      <c r="P87" s="117" t="s">
        <v>13</v>
      </c>
      <c r="Q87" s="126"/>
      <c r="R87" s="127"/>
    </row>
    <row r="88" spans="1:18" s="30" customFormat="1" ht="25.5" customHeight="1">
      <c r="A88" s="128"/>
      <c r="B88" s="129" t="s">
        <v>80</v>
      </c>
      <c r="C88" s="130"/>
      <c r="D88" s="131"/>
      <c r="E88" s="131"/>
      <c r="F88" s="132"/>
      <c r="G88" s="132"/>
      <c r="H88" s="132"/>
      <c r="I88" s="132"/>
      <c r="J88" s="132"/>
      <c r="K88" s="131"/>
      <c r="L88" s="132"/>
      <c r="M88" s="132"/>
      <c r="N88" s="132"/>
      <c r="O88" s="132"/>
      <c r="P88" s="132"/>
      <c r="Q88" s="132"/>
      <c r="R88" s="133"/>
    </row>
    <row r="89" spans="1:18" s="135" customFormat="1" ht="22.5" customHeight="1">
      <c r="A89" s="134"/>
      <c r="B89" s="53" t="s">
        <v>117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135" customFormat="1" ht="22.5" customHeight="1">
      <c r="A90" s="134"/>
      <c r="B90" s="136" t="s">
        <v>79</v>
      </c>
      <c r="C90" s="137">
        <v>50</v>
      </c>
      <c r="D90" s="137">
        <v>0</v>
      </c>
      <c r="E90" s="137">
        <v>50</v>
      </c>
      <c r="F90" s="137">
        <f>E90*12.6%</f>
        <v>6.3</v>
      </c>
      <c r="G90" s="137">
        <f>E90*3.3%</f>
        <v>1.6500000000000001</v>
      </c>
      <c r="H90" s="137">
        <f>E90*62.1%</f>
        <v>31.05</v>
      </c>
      <c r="I90" s="137">
        <f>E90*335%</f>
        <v>167.5</v>
      </c>
      <c r="J90" s="137">
        <f>E90*0.43%</f>
        <v>0.215</v>
      </c>
      <c r="K90" s="137">
        <v>0</v>
      </c>
      <c r="L90" s="137">
        <v>0</v>
      </c>
      <c r="M90" s="137">
        <f>E90*20%</f>
        <v>10</v>
      </c>
      <c r="N90" s="137">
        <f>E90*298%</f>
        <v>149</v>
      </c>
      <c r="O90" s="137">
        <f>E90*200%</f>
        <v>100</v>
      </c>
      <c r="P90" s="137">
        <f>E90*6.7%</f>
        <v>3.35</v>
      </c>
      <c r="Q90" s="137">
        <v>67</v>
      </c>
      <c r="R90" s="138">
        <f>C90/1000*67</f>
        <v>3.35</v>
      </c>
    </row>
    <row r="91" spans="1:18" s="135" customFormat="1" ht="22.5" customHeight="1">
      <c r="A91" s="139"/>
      <c r="B91" s="136" t="s">
        <v>22</v>
      </c>
      <c r="C91" s="137">
        <v>10</v>
      </c>
      <c r="D91" s="137">
        <v>0</v>
      </c>
      <c r="E91" s="137">
        <f>C91-D91</f>
        <v>10</v>
      </c>
      <c r="F91" s="137">
        <f>E91*0.5%</f>
        <v>0.05</v>
      </c>
      <c r="G91" s="137">
        <f>E91*82.5%</f>
        <v>8.25</v>
      </c>
      <c r="H91" s="137">
        <f>E91*0.8%</f>
        <v>0.08</v>
      </c>
      <c r="I91" s="137">
        <f>E91*748%</f>
        <v>74.800000000000011</v>
      </c>
      <c r="J91" s="137">
        <v>0</v>
      </c>
      <c r="K91" s="137">
        <v>0</v>
      </c>
      <c r="L91" s="137">
        <f>E91*0.59%</f>
        <v>5.8999999999999997E-2</v>
      </c>
      <c r="M91" s="137">
        <f>E91*12%</f>
        <v>1.2</v>
      </c>
      <c r="N91" s="137">
        <f>E91*19%</f>
        <v>1.9</v>
      </c>
      <c r="O91" s="137">
        <f>E91*0.4%</f>
        <v>0.04</v>
      </c>
      <c r="P91" s="137">
        <f>E91*0.2%</f>
        <v>0.02</v>
      </c>
      <c r="Q91" s="137">
        <v>480</v>
      </c>
      <c r="R91" s="138">
        <f>C91/1000*480</f>
        <v>4.8</v>
      </c>
    </row>
    <row r="92" spans="1:18" s="143" customFormat="1" ht="22.5" customHeight="1">
      <c r="A92" s="140"/>
      <c r="B92" s="141" t="s">
        <v>69</v>
      </c>
      <c r="C92" s="142">
        <f>C91+C90</f>
        <v>60</v>
      </c>
      <c r="D92" s="142">
        <f>SUM(D90:D91)</f>
        <v>0</v>
      </c>
      <c r="E92" s="142">
        <v>150</v>
      </c>
      <c r="F92" s="142">
        <f t="shared" ref="F92:P92" si="10">SUM(F90:F91)</f>
        <v>6.35</v>
      </c>
      <c r="G92" s="142">
        <f t="shared" si="10"/>
        <v>9.9</v>
      </c>
      <c r="H92" s="142">
        <f t="shared" si="10"/>
        <v>31.13</v>
      </c>
      <c r="I92" s="142">
        <f t="shared" si="10"/>
        <v>242.3</v>
      </c>
      <c r="J92" s="142">
        <f t="shared" si="10"/>
        <v>0.215</v>
      </c>
      <c r="K92" s="142">
        <f t="shared" si="10"/>
        <v>0</v>
      </c>
      <c r="L92" s="142">
        <f t="shared" si="10"/>
        <v>5.8999999999999997E-2</v>
      </c>
      <c r="M92" s="142">
        <f t="shared" si="10"/>
        <v>11.2</v>
      </c>
      <c r="N92" s="142">
        <f t="shared" si="10"/>
        <v>150.9</v>
      </c>
      <c r="O92" s="142">
        <f t="shared" si="10"/>
        <v>100.04</v>
      </c>
      <c r="P92" s="142">
        <f t="shared" si="10"/>
        <v>3.37</v>
      </c>
      <c r="Q92" s="142"/>
      <c r="R92" s="142">
        <f>SUM(R90:R91)</f>
        <v>8.15</v>
      </c>
    </row>
    <row r="93" spans="1:18" s="30" customFormat="1" ht="20.25" customHeight="1">
      <c r="A93" s="60"/>
      <c r="B93" s="85" t="s">
        <v>134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7"/>
    </row>
    <row r="94" spans="1:18" s="147" customFormat="1" ht="22.5" customHeight="1">
      <c r="A94" s="144"/>
      <c r="B94" s="145" t="s">
        <v>122</v>
      </c>
      <c r="C94" s="146">
        <v>60</v>
      </c>
      <c r="D94" s="146">
        <f>C94*26.4%</f>
        <v>15.84</v>
      </c>
      <c r="E94" s="146">
        <f>SUM(C94-D94)</f>
        <v>44.16</v>
      </c>
      <c r="F94" s="146">
        <f>E94*18.6%</f>
        <v>8.2137600000000006</v>
      </c>
      <c r="G94" s="146">
        <f>E94*16%</f>
        <v>7.0655999999999999</v>
      </c>
      <c r="H94" s="146">
        <v>0</v>
      </c>
      <c r="I94" s="146">
        <f>E94*218%</f>
        <v>96.268799999999999</v>
      </c>
      <c r="J94" s="146">
        <f>E94*0.06%</f>
        <v>2.6495999999999995E-2</v>
      </c>
      <c r="K94" s="146">
        <v>0</v>
      </c>
      <c r="L94" s="146">
        <v>0</v>
      </c>
      <c r="M94" s="146">
        <f>E94*9%</f>
        <v>3.9743999999999997</v>
      </c>
      <c r="N94" s="146">
        <f>E94*188%</f>
        <v>83.020799999999994</v>
      </c>
      <c r="O94" s="146">
        <f>E94*22%</f>
        <v>9.7151999999999994</v>
      </c>
      <c r="P94" s="146">
        <f>E94*2.7%</f>
        <v>1.19232</v>
      </c>
      <c r="Q94" s="146">
        <v>475</v>
      </c>
      <c r="R94" s="146">
        <f>C94/1000*475</f>
        <v>28.5</v>
      </c>
    </row>
    <row r="95" spans="1:18" s="147" customFormat="1" ht="26.25">
      <c r="A95" s="144"/>
      <c r="B95" s="145" t="s">
        <v>15</v>
      </c>
      <c r="C95" s="146">
        <v>25</v>
      </c>
      <c r="D95" s="146">
        <v>5</v>
      </c>
      <c r="E95" s="146">
        <f>C95-D95</f>
        <v>20</v>
      </c>
      <c r="F95" s="146">
        <f>E95*1.3%</f>
        <v>0.26</v>
      </c>
      <c r="G95" s="146">
        <v>0</v>
      </c>
      <c r="H95" s="146">
        <f>E95*7.2%</f>
        <v>1.4400000000000002</v>
      </c>
      <c r="I95" s="146">
        <f>E95*30%</f>
        <v>6</v>
      </c>
      <c r="J95" s="146">
        <f>E95*0.06%</f>
        <v>1.1999999999999999E-2</v>
      </c>
      <c r="K95" s="146">
        <f>E95*5%</f>
        <v>1</v>
      </c>
      <c r="L95" s="146">
        <v>0</v>
      </c>
      <c r="M95" s="146">
        <f>E95*51%</f>
        <v>10.199999999999999</v>
      </c>
      <c r="N95" s="146">
        <f>E95*55%</f>
        <v>11</v>
      </c>
      <c r="O95" s="146">
        <f>E95*38%</f>
        <v>7.6</v>
      </c>
      <c r="P95" s="146">
        <f>E95*0.7%</f>
        <v>0.13999999999999999</v>
      </c>
      <c r="Q95" s="146">
        <v>60</v>
      </c>
      <c r="R95" s="146">
        <f>C95/1000*60</f>
        <v>1.5</v>
      </c>
    </row>
    <row r="96" spans="1:18" s="147" customFormat="1" ht="26.25">
      <c r="A96" s="144"/>
      <c r="B96" s="145" t="s">
        <v>73</v>
      </c>
      <c r="C96" s="146">
        <v>26</v>
      </c>
      <c r="D96" s="146">
        <f>C96*0.16</f>
        <v>4.16</v>
      </c>
      <c r="E96" s="146">
        <f>C96-D96</f>
        <v>21.84</v>
      </c>
      <c r="F96" s="146">
        <f>E96*1.4%</f>
        <v>0.30575999999999998</v>
      </c>
      <c r="G96" s="147">
        <v>0</v>
      </c>
      <c r="H96" s="146">
        <f>E96*9.1%</f>
        <v>1.9874399999999999</v>
      </c>
      <c r="I96" s="146">
        <f>E96*41%</f>
        <v>8.9543999999999997</v>
      </c>
      <c r="J96" s="146">
        <f>E96*0.05%</f>
        <v>1.0920000000000001E-2</v>
      </c>
      <c r="K96" s="146">
        <f>E96*10%</f>
        <v>2.1840000000000002</v>
      </c>
      <c r="L96" s="146">
        <v>0</v>
      </c>
      <c r="M96" s="146">
        <f>E96*31%</f>
        <v>6.7703999999999995</v>
      </c>
      <c r="N96" s="146">
        <f>E96*58%</f>
        <v>12.667199999999999</v>
      </c>
      <c r="O96" s="146">
        <f>E96*14%</f>
        <v>3.0576000000000003</v>
      </c>
      <c r="P96" s="146">
        <f>E96*0.8%</f>
        <v>0.17472000000000001</v>
      </c>
      <c r="Q96" s="146">
        <v>40</v>
      </c>
      <c r="R96" s="146">
        <f>C96/1000*40</f>
        <v>1.04</v>
      </c>
    </row>
    <row r="97" spans="1:18" s="147" customFormat="1" ht="26.25">
      <c r="A97" s="148"/>
      <c r="B97" s="149" t="s">
        <v>81</v>
      </c>
      <c r="C97" s="149">
        <v>10</v>
      </c>
      <c r="D97" s="149">
        <v>0</v>
      </c>
      <c r="E97" s="149">
        <f>C97-D97</f>
        <v>10</v>
      </c>
      <c r="F97" s="149">
        <f>E97*7.9%</f>
        <v>0.79</v>
      </c>
      <c r="G97" s="149">
        <f>E97*1%</f>
        <v>0.1</v>
      </c>
      <c r="H97" s="149">
        <f>E97*48.1%</f>
        <v>4.8100000000000005</v>
      </c>
      <c r="I97" s="149">
        <f>E97*239%</f>
        <v>23.900000000000002</v>
      </c>
      <c r="J97" s="149">
        <f>E97*0.16%</f>
        <v>1.6E-2</v>
      </c>
      <c r="K97" s="149">
        <v>0</v>
      </c>
      <c r="L97" s="149">
        <v>0</v>
      </c>
      <c r="M97" s="149">
        <f>E97*23%</f>
        <v>2.3000000000000003</v>
      </c>
      <c r="N97" s="149">
        <f>E97*87%</f>
        <v>8.6999999999999993</v>
      </c>
      <c r="O97" s="149">
        <f>E97*33%</f>
        <v>3.3000000000000003</v>
      </c>
      <c r="P97" s="149">
        <f>E97*2%</f>
        <v>0.2</v>
      </c>
      <c r="Q97" s="149">
        <v>30</v>
      </c>
      <c r="R97" s="149">
        <f>C97/1000*30</f>
        <v>0.3</v>
      </c>
    </row>
    <row r="98" spans="1:18" s="147" customFormat="1" ht="26.25">
      <c r="A98" s="150"/>
      <c r="B98" s="151" t="s">
        <v>26</v>
      </c>
      <c r="C98" s="151">
        <v>5</v>
      </c>
      <c r="D98" s="151">
        <v>0</v>
      </c>
      <c r="E98" s="151">
        <f>SUM(C98:D98)</f>
        <v>5</v>
      </c>
      <c r="F98" s="151">
        <f>E98*1%</f>
        <v>0.05</v>
      </c>
      <c r="G98" s="151">
        <v>0</v>
      </c>
      <c r="H98" s="151">
        <f>E98*3.5%</f>
        <v>0.17500000000000002</v>
      </c>
      <c r="I98" s="151">
        <f>E98*19%</f>
        <v>0.95</v>
      </c>
      <c r="J98" s="151">
        <f>E98*0.03%</f>
        <v>1.4999999999999998E-3</v>
      </c>
      <c r="K98" s="151">
        <f>E98*10%</f>
        <v>0.5</v>
      </c>
      <c r="L98" s="151">
        <v>0</v>
      </c>
      <c r="M98" s="151">
        <f>C98*7%</f>
        <v>0.35000000000000003</v>
      </c>
      <c r="N98" s="151">
        <f>E98*32%</f>
        <v>1.6</v>
      </c>
      <c r="O98" s="151">
        <f>E98*12%</f>
        <v>0.6</v>
      </c>
      <c r="P98" s="151">
        <f>E98*0.7%</f>
        <v>3.4999999999999996E-2</v>
      </c>
      <c r="Q98" s="151">
        <v>150</v>
      </c>
      <c r="R98" s="151">
        <f>C98/1000*150</f>
        <v>0.75</v>
      </c>
    </row>
    <row r="99" spans="1:18" s="147" customFormat="1" ht="26.25">
      <c r="A99" s="144"/>
      <c r="B99" s="145" t="s">
        <v>25</v>
      </c>
      <c r="C99" s="146">
        <v>10</v>
      </c>
      <c r="D99" s="146">
        <v>0</v>
      </c>
      <c r="E99" s="146">
        <f>SUM(C99:D99)</f>
        <v>10</v>
      </c>
      <c r="F99" s="146">
        <v>0</v>
      </c>
      <c r="G99" s="152">
        <f>E99*0.999</f>
        <v>9.99</v>
      </c>
      <c r="H99" s="146">
        <v>0</v>
      </c>
      <c r="I99" s="146">
        <f>E99*8.99%</f>
        <v>0.89900000000000002</v>
      </c>
      <c r="J99" s="146">
        <f>E99*0.06%</f>
        <v>5.9999999999999993E-3</v>
      </c>
      <c r="K99" s="146">
        <v>0</v>
      </c>
      <c r="L99" s="146">
        <v>0</v>
      </c>
      <c r="M99" s="146">
        <v>0</v>
      </c>
      <c r="N99" s="146">
        <v>0</v>
      </c>
      <c r="O99" s="146">
        <v>0</v>
      </c>
      <c r="P99" s="146">
        <v>0</v>
      </c>
      <c r="Q99" s="146">
        <v>150</v>
      </c>
      <c r="R99" s="146">
        <f>C99/1000*150</f>
        <v>1.5</v>
      </c>
    </row>
    <row r="100" spans="1:18" s="143" customFormat="1" ht="26.25">
      <c r="A100" s="153"/>
      <c r="B100" s="142" t="s">
        <v>69</v>
      </c>
      <c r="C100" s="142">
        <f t="shared" ref="C100:P100" si="11">SUM(C94:C99)</f>
        <v>136</v>
      </c>
      <c r="D100" s="142">
        <f t="shared" si="11"/>
        <v>25</v>
      </c>
      <c r="E100" s="142">
        <f t="shared" si="11"/>
        <v>111</v>
      </c>
      <c r="F100" s="142">
        <f t="shared" si="11"/>
        <v>9.6195200000000014</v>
      </c>
      <c r="G100" s="142">
        <f t="shared" si="11"/>
        <v>17.1556</v>
      </c>
      <c r="H100" s="142">
        <f t="shared" si="11"/>
        <v>8.4124400000000001</v>
      </c>
      <c r="I100" s="142">
        <f t="shared" si="11"/>
        <v>136.97219999999999</v>
      </c>
      <c r="J100" s="142">
        <f t="shared" si="11"/>
        <v>7.2916000000000009E-2</v>
      </c>
      <c r="K100" s="142">
        <f t="shared" si="11"/>
        <v>3.6840000000000002</v>
      </c>
      <c r="L100" s="142">
        <f t="shared" si="11"/>
        <v>0</v>
      </c>
      <c r="M100" s="142">
        <f t="shared" si="11"/>
        <v>23.594799999999999</v>
      </c>
      <c r="N100" s="142">
        <f t="shared" si="11"/>
        <v>116.98799999999999</v>
      </c>
      <c r="O100" s="142">
        <f t="shared" si="11"/>
        <v>24.2728</v>
      </c>
      <c r="P100" s="142">
        <f t="shared" si="11"/>
        <v>1.7420399999999998</v>
      </c>
      <c r="Q100" s="142"/>
      <c r="R100" s="142">
        <f>SUM(R94:R99)</f>
        <v>33.590000000000003</v>
      </c>
    </row>
    <row r="101" spans="1:18" s="30" customFormat="1" ht="18.75" customHeight="1">
      <c r="A101" s="154" t="s">
        <v>118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6"/>
    </row>
    <row r="102" spans="1:18" s="160" customFormat="1" ht="18" customHeight="1">
      <c r="A102" s="157"/>
      <c r="B102" s="158" t="s">
        <v>69</v>
      </c>
      <c r="C102" s="159">
        <v>30</v>
      </c>
      <c r="D102" s="159">
        <v>0</v>
      </c>
      <c r="E102" s="159">
        <v>30</v>
      </c>
      <c r="F102" s="159">
        <f>E102*7.9%</f>
        <v>2.37</v>
      </c>
      <c r="G102" s="159">
        <f>E102*1%</f>
        <v>0.3</v>
      </c>
      <c r="H102" s="159">
        <f>E102*48.1%</f>
        <v>14.430000000000001</v>
      </c>
      <c r="I102" s="159">
        <f>E102*239%</f>
        <v>71.7</v>
      </c>
      <c r="J102" s="159">
        <f>E102*0.16%</f>
        <v>4.8000000000000001E-2</v>
      </c>
      <c r="K102" s="159">
        <v>0</v>
      </c>
      <c r="L102" s="159">
        <v>0</v>
      </c>
      <c r="M102" s="159">
        <f>E102*23%</f>
        <v>6.9</v>
      </c>
      <c r="N102" s="159">
        <f>E102*87%</f>
        <v>26.1</v>
      </c>
      <c r="O102" s="159">
        <f>E102*33%</f>
        <v>9.9</v>
      </c>
      <c r="P102" s="159">
        <f>E102*2%</f>
        <v>0.6</v>
      </c>
      <c r="Q102" s="159">
        <v>50</v>
      </c>
      <c r="R102" s="159">
        <f>C102/1000*50</f>
        <v>1.5</v>
      </c>
    </row>
    <row r="103" spans="1:18" s="30" customFormat="1" ht="26.25">
      <c r="A103" s="60"/>
      <c r="B103" s="62" t="s">
        <v>105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r="104" spans="1:18" s="30" customFormat="1" ht="26.25">
      <c r="A104" s="61"/>
      <c r="B104" s="57" t="s">
        <v>52</v>
      </c>
      <c r="C104" s="57">
        <v>1</v>
      </c>
      <c r="D104" s="57">
        <v>0</v>
      </c>
      <c r="E104" s="57">
        <f>C104-D104</f>
        <v>1</v>
      </c>
      <c r="F104" s="57">
        <f>E104*21.74%</f>
        <v>0.21739999999999998</v>
      </c>
      <c r="G104" s="57">
        <f>E104*7.61%</f>
        <v>7.6100000000000001E-2</v>
      </c>
      <c r="H104" s="57">
        <f>E104*2.86%</f>
        <v>2.86E-2</v>
      </c>
      <c r="I104" s="57">
        <f>E104*9.18%</f>
        <v>9.1799999999999993E-2</v>
      </c>
      <c r="J104" s="57">
        <f>E104*4.7%</f>
        <v>4.7E-2</v>
      </c>
      <c r="K104" s="57">
        <f>E104*11%</f>
        <v>0.11</v>
      </c>
      <c r="L104" s="57">
        <f>E104*5.6%</f>
        <v>5.5999999999999994E-2</v>
      </c>
      <c r="M104" s="57">
        <f>E104*50%</f>
        <v>0.5</v>
      </c>
      <c r="N104" s="57">
        <f>E104*10%</f>
        <v>0.1</v>
      </c>
      <c r="O104" s="57">
        <f>E104*110%</f>
        <v>1.1000000000000001</v>
      </c>
      <c r="P104" s="57">
        <f>E104*456%</f>
        <v>4.5599999999999996</v>
      </c>
      <c r="Q104" s="57">
        <v>950</v>
      </c>
      <c r="R104" s="57">
        <f>C104/1000*950</f>
        <v>0.95000000000000007</v>
      </c>
    </row>
    <row r="105" spans="1:18" s="30" customFormat="1" ht="26.25">
      <c r="A105" s="60"/>
      <c r="B105" s="57" t="s">
        <v>68</v>
      </c>
      <c r="C105" s="57">
        <v>15</v>
      </c>
      <c r="D105" s="57">
        <v>0</v>
      </c>
      <c r="E105" s="57">
        <v>15</v>
      </c>
      <c r="F105" s="57">
        <v>0</v>
      </c>
      <c r="G105" s="57">
        <v>0</v>
      </c>
      <c r="H105" s="57">
        <f>E105*99.8%</f>
        <v>14.97</v>
      </c>
      <c r="I105" s="57">
        <f>E105*379%</f>
        <v>56.85</v>
      </c>
      <c r="J105" s="57">
        <v>0</v>
      </c>
      <c r="K105" s="57">
        <v>0</v>
      </c>
      <c r="L105" s="57">
        <v>0</v>
      </c>
      <c r="M105" s="57">
        <f>E105*2%</f>
        <v>0.3</v>
      </c>
      <c r="N105" s="57">
        <v>0</v>
      </c>
      <c r="O105" s="57">
        <v>0</v>
      </c>
      <c r="P105" s="57">
        <f>E105*0.3%</f>
        <v>4.4999999999999998E-2</v>
      </c>
      <c r="Q105" s="57">
        <v>60</v>
      </c>
      <c r="R105" s="57">
        <f>C105/1000*60</f>
        <v>0.89999999999999991</v>
      </c>
    </row>
    <row r="106" spans="1:18" s="143" customFormat="1" ht="26.25">
      <c r="A106" s="140"/>
      <c r="B106" s="142" t="s">
        <v>69</v>
      </c>
      <c r="C106" s="142">
        <f>SUM(C104:C105)</f>
        <v>16</v>
      </c>
      <c r="D106" s="142">
        <f>SUM(D105:D105)</f>
        <v>0</v>
      </c>
      <c r="E106" s="142">
        <v>150</v>
      </c>
      <c r="F106" s="142">
        <f t="shared" ref="F106:P106" si="12">SUM(F105:F105)</f>
        <v>0</v>
      </c>
      <c r="G106" s="142">
        <f t="shared" si="12"/>
        <v>0</v>
      </c>
      <c r="H106" s="142">
        <f t="shared" si="12"/>
        <v>14.97</v>
      </c>
      <c r="I106" s="142">
        <f t="shared" si="12"/>
        <v>56.85</v>
      </c>
      <c r="J106" s="142">
        <f t="shared" si="12"/>
        <v>0</v>
      </c>
      <c r="K106" s="142">
        <f t="shared" si="12"/>
        <v>0</v>
      </c>
      <c r="L106" s="142">
        <f t="shared" si="12"/>
        <v>0</v>
      </c>
      <c r="M106" s="142">
        <f t="shared" si="12"/>
        <v>0.3</v>
      </c>
      <c r="N106" s="142">
        <f t="shared" si="12"/>
        <v>0</v>
      </c>
      <c r="O106" s="142">
        <f t="shared" si="12"/>
        <v>0</v>
      </c>
      <c r="P106" s="142">
        <f t="shared" si="12"/>
        <v>4.4999999999999998E-2</v>
      </c>
      <c r="Q106" s="142"/>
      <c r="R106" s="142">
        <f>SUM(R104:R105)</f>
        <v>1.85</v>
      </c>
    </row>
    <row r="107" spans="1:18" s="30" customFormat="1" ht="23.25" customHeight="1">
      <c r="A107" s="61"/>
      <c r="B107" s="66" t="s">
        <v>120</v>
      </c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2"/>
    </row>
    <row r="108" spans="1:18" s="30" customFormat="1" ht="26.25">
      <c r="A108" s="61"/>
      <c r="B108" s="59" t="s">
        <v>69</v>
      </c>
      <c r="C108" s="59">
        <v>130</v>
      </c>
      <c r="D108" s="59">
        <v>0</v>
      </c>
      <c r="E108" s="59">
        <f>C108-D108</f>
        <v>130</v>
      </c>
      <c r="F108" s="59">
        <f>E108*1.5%</f>
        <v>1.95</v>
      </c>
      <c r="G108" s="59">
        <f>E108*0.5%</f>
        <v>0.65</v>
      </c>
      <c r="H108" s="59">
        <f>E108*21%</f>
        <v>27.3</v>
      </c>
      <c r="I108" s="59">
        <f>E108*96%</f>
        <v>124.8</v>
      </c>
      <c r="J108" s="59">
        <v>0</v>
      </c>
      <c r="K108" s="59">
        <v>8.6999999999999993</v>
      </c>
      <c r="L108" s="59">
        <v>3</v>
      </c>
      <c r="M108" s="59">
        <v>5</v>
      </c>
      <c r="N108" s="59">
        <v>22</v>
      </c>
      <c r="O108" s="59">
        <v>27</v>
      </c>
      <c r="P108" s="59">
        <v>0.3</v>
      </c>
      <c r="Q108" s="59">
        <v>122</v>
      </c>
      <c r="R108" s="59">
        <f>C108/1000*122</f>
        <v>15.860000000000001</v>
      </c>
    </row>
    <row r="109" spans="1:18" s="30" customFormat="1" ht="22.5" customHeight="1">
      <c r="A109" s="163" t="s">
        <v>139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5"/>
    </row>
    <row r="110" spans="1:18" s="30" customFormat="1" ht="26.25">
      <c r="A110" s="142"/>
      <c r="B110" s="159" t="s">
        <v>69</v>
      </c>
      <c r="C110" s="159">
        <v>3</v>
      </c>
      <c r="D110" s="159">
        <v>0</v>
      </c>
      <c r="E110" s="159">
        <f>C110-D110</f>
        <v>3</v>
      </c>
      <c r="F110" s="159">
        <v>0</v>
      </c>
      <c r="G110" s="159">
        <v>0</v>
      </c>
      <c r="H110" s="159">
        <v>0</v>
      </c>
      <c r="I110" s="159">
        <v>0</v>
      </c>
      <c r="J110" s="159">
        <v>0</v>
      </c>
      <c r="K110" s="159">
        <v>0</v>
      </c>
      <c r="L110" s="159">
        <v>0</v>
      </c>
      <c r="M110" s="159">
        <v>0</v>
      </c>
      <c r="N110" s="159">
        <v>0</v>
      </c>
      <c r="O110" s="159">
        <v>0</v>
      </c>
      <c r="P110" s="159">
        <v>0</v>
      </c>
      <c r="Q110" s="159">
        <v>20</v>
      </c>
      <c r="R110" s="159">
        <f>C110/1000*20</f>
        <v>0.06</v>
      </c>
    </row>
    <row r="111" spans="1:18" s="30" customFormat="1" ht="20.25" customHeight="1">
      <c r="A111" s="142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</row>
    <row r="112" spans="1:18" s="30" customFormat="1" ht="24" customHeight="1">
      <c r="A112" s="166"/>
      <c r="B112" s="159" t="s">
        <v>69</v>
      </c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>
        <f>R110+R108+R106+R102+R100+R92</f>
        <v>61.010000000000005</v>
      </c>
    </row>
    <row r="113" spans="1:18" s="167" customFormat="1" ht="29.25" customHeight="1"/>
    <row r="114" spans="1:18" s="167" customFormat="1" ht="29.25" customHeight="1"/>
    <row r="115" spans="1:18" s="167" customFormat="1" ht="23.25" customHeight="1"/>
    <row r="116" spans="1:18" s="30" customFormat="1" ht="18.75" customHeight="1">
      <c r="A116" s="31"/>
      <c r="B116" s="32" t="s">
        <v>0</v>
      </c>
      <c r="C116" s="33" t="s">
        <v>96</v>
      </c>
      <c r="D116" s="34" t="s">
        <v>20</v>
      </c>
      <c r="E116" s="34" t="s">
        <v>19</v>
      </c>
      <c r="F116" s="35" t="s">
        <v>1</v>
      </c>
      <c r="G116" s="35" t="s">
        <v>2</v>
      </c>
      <c r="H116" s="35" t="s">
        <v>3</v>
      </c>
      <c r="I116" s="35" t="s">
        <v>4</v>
      </c>
      <c r="J116" s="36" t="s">
        <v>5</v>
      </c>
      <c r="K116" s="37"/>
      <c r="L116" s="38"/>
      <c r="M116" s="36" t="s">
        <v>6</v>
      </c>
      <c r="N116" s="37"/>
      <c r="O116" s="37"/>
      <c r="P116" s="38"/>
      <c r="Q116" s="35" t="s">
        <v>66</v>
      </c>
      <c r="R116" s="39" t="s">
        <v>115</v>
      </c>
    </row>
    <row r="117" spans="1:18" s="30" customFormat="1" ht="15" customHeight="1">
      <c r="A117" s="40"/>
      <c r="B117" s="41"/>
      <c r="C117" s="42"/>
      <c r="D117" s="43"/>
      <c r="E117" s="43"/>
      <c r="F117" s="44"/>
      <c r="G117" s="44"/>
      <c r="H117" s="44"/>
      <c r="I117" s="44"/>
      <c r="J117" s="35" t="s">
        <v>7</v>
      </c>
      <c r="K117" s="34" t="s">
        <v>8</v>
      </c>
      <c r="L117" s="35" t="s">
        <v>9</v>
      </c>
      <c r="M117" s="35" t="s">
        <v>10</v>
      </c>
      <c r="N117" s="35" t="s">
        <v>11</v>
      </c>
      <c r="O117" s="35" t="s">
        <v>12</v>
      </c>
      <c r="P117" s="35" t="s">
        <v>13</v>
      </c>
      <c r="Q117" s="44"/>
      <c r="R117" s="45"/>
    </row>
    <row r="118" spans="1:18" s="30" customFormat="1" ht="26.25">
      <c r="A118" s="46"/>
      <c r="B118" s="47" t="s">
        <v>82</v>
      </c>
      <c r="C118" s="48"/>
      <c r="D118" s="49"/>
      <c r="E118" s="49"/>
      <c r="F118" s="50"/>
      <c r="G118" s="50"/>
      <c r="H118" s="50"/>
      <c r="I118" s="50"/>
      <c r="J118" s="50"/>
      <c r="K118" s="49"/>
      <c r="L118" s="50"/>
      <c r="M118" s="50"/>
      <c r="N118" s="50"/>
      <c r="O118" s="50"/>
      <c r="P118" s="50"/>
      <c r="Q118" s="50"/>
      <c r="R118" s="51"/>
    </row>
    <row r="119" spans="1:18" s="30" customFormat="1" ht="20.25" customHeight="1">
      <c r="A119" s="46"/>
      <c r="B119" s="168" t="s">
        <v>123</v>
      </c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70"/>
    </row>
    <row r="120" spans="1:18" s="30" customFormat="1" ht="26.25">
      <c r="A120" s="61"/>
      <c r="B120" s="56" t="s">
        <v>93</v>
      </c>
      <c r="C120" s="57">
        <v>50</v>
      </c>
      <c r="D120" s="57">
        <v>0</v>
      </c>
      <c r="E120" s="57">
        <f>C120-D120</f>
        <v>50</v>
      </c>
      <c r="F120" s="57">
        <f>E120*2%</f>
        <v>1</v>
      </c>
      <c r="G120" s="57">
        <f>E120*0.4%</f>
        <v>0.2</v>
      </c>
      <c r="H120" s="57">
        <f>E120*16.3%</f>
        <v>8.15</v>
      </c>
      <c r="I120" s="57">
        <f>E120*80%</f>
        <v>40</v>
      </c>
      <c r="J120" s="57">
        <f>E120*0.12%</f>
        <v>0.06</v>
      </c>
      <c r="K120" s="57">
        <f>E120*20%</f>
        <v>10</v>
      </c>
      <c r="L120" s="57">
        <v>0</v>
      </c>
      <c r="M120" s="57">
        <f>E120*10%</f>
        <v>5</v>
      </c>
      <c r="N120" s="57">
        <f>E120*58%</f>
        <v>28.999999999999996</v>
      </c>
      <c r="O120" s="57">
        <f>E120*23%</f>
        <v>11.5</v>
      </c>
      <c r="P120" s="57">
        <f>E120*0.9%</f>
        <v>0.45000000000000007</v>
      </c>
      <c r="Q120" s="57">
        <v>75</v>
      </c>
      <c r="R120" s="57">
        <f>C120/1000*75</f>
        <v>3.75</v>
      </c>
    </row>
    <row r="121" spans="1:18" s="30" customFormat="1" ht="26.25">
      <c r="A121" s="61"/>
      <c r="B121" s="94" t="s">
        <v>17</v>
      </c>
      <c r="C121" s="57">
        <v>10</v>
      </c>
      <c r="D121" s="57">
        <v>0</v>
      </c>
      <c r="E121" s="57">
        <f>C121-D121</f>
        <v>10</v>
      </c>
      <c r="F121" s="57">
        <v>0</v>
      </c>
      <c r="G121" s="95">
        <f>E121*99.9%</f>
        <v>9.990000000000002</v>
      </c>
      <c r="H121" s="57">
        <v>0</v>
      </c>
      <c r="I121" s="57">
        <f>E121*8.99%</f>
        <v>0.89900000000000002</v>
      </c>
      <c r="J121" s="57">
        <f>E121*0.06%</f>
        <v>5.9999999999999993E-3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150</v>
      </c>
      <c r="R121" s="56">
        <f>C121/1000*150</f>
        <v>1.5</v>
      </c>
    </row>
    <row r="122" spans="1:18" s="30" customFormat="1" ht="26.25">
      <c r="A122" s="61"/>
      <c r="B122" s="56" t="s">
        <v>15</v>
      </c>
      <c r="C122" s="57">
        <v>25</v>
      </c>
      <c r="D122" s="57">
        <f>C122*0.2</f>
        <v>5</v>
      </c>
      <c r="E122" s="57">
        <f>C122-D122</f>
        <v>20</v>
      </c>
      <c r="F122" s="57">
        <f>E122*1.3%</f>
        <v>0.26</v>
      </c>
      <c r="G122" s="95">
        <f>E122*0.001</f>
        <v>0.02</v>
      </c>
      <c r="H122" s="57">
        <f>E122*0.072</f>
        <v>1.44</v>
      </c>
      <c r="I122" s="57">
        <f>E122*0.3</f>
        <v>6</v>
      </c>
      <c r="J122" s="57">
        <f>E122*0.06%</f>
        <v>1.1999999999999999E-2</v>
      </c>
      <c r="K122" s="57">
        <f>E122*5%</f>
        <v>1</v>
      </c>
      <c r="L122" s="57">
        <v>0</v>
      </c>
      <c r="M122" s="57">
        <f>E122*51%</f>
        <v>10.199999999999999</v>
      </c>
      <c r="N122" s="57">
        <f>E122*55%</f>
        <v>11</v>
      </c>
      <c r="O122" s="57">
        <f>E122*38%</f>
        <v>7.6</v>
      </c>
      <c r="P122" s="57">
        <f>E122*0.7%</f>
        <v>0.13999999999999999</v>
      </c>
      <c r="Q122" s="57">
        <v>60</v>
      </c>
      <c r="R122" s="56">
        <f>C122/1000*60</f>
        <v>1.5</v>
      </c>
    </row>
    <row r="123" spans="1:18" s="30" customFormat="1" ht="26.25">
      <c r="A123" s="52"/>
      <c r="B123" s="56" t="s">
        <v>73</v>
      </c>
      <c r="C123" s="57">
        <v>26</v>
      </c>
      <c r="D123" s="57">
        <f>C123*0.16</f>
        <v>4.16</v>
      </c>
      <c r="E123" s="57">
        <f>C123-D123</f>
        <v>21.84</v>
      </c>
      <c r="F123" s="57">
        <f>E123*1.4%</f>
        <v>0.30575999999999998</v>
      </c>
      <c r="G123" s="30">
        <v>0</v>
      </c>
      <c r="H123" s="57">
        <f>E123*9.1%</f>
        <v>1.9874399999999999</v>
      </c>
      <c r="I123" s="57">
        <f>E123*41%</f>
        <v>8.9543999999999997</v>
      </c>
      <c r="J123" s="57">
        <f>E123*0.05%</f>
        <v>1.0920000000000001E-2</v>
      </c>
      <c r="K123" s="57">
        <f>E123*10%</f>
        <v>2.1840000000000002</v>
      </c>
      <c r="L123" s="57">
        <v>0</v>
      </c>
      <c r="M123" s="57">
        <f>E123*31%</f>
        <v>6.7703999999999995</v>
      </c>
      <c r="N123" s="57">
        <f>E123*58%</f>
        <v>12.667199999999999</v>
      </c>
      <c r="O123" s="57">
        <f>E123*14%</f>
        <v>3.0576000000000003</v>
      </c>
      <c r="P123" s="57">
        <f>E123*0.8%</f>
        <v>0.17472000000000001</v>
      </c>
      <c r="Q123" s="57">
        <v>40</v>
      </c>
      <c r="R123" s="57">
        <f>C123/1000*40</f>
        <v>1.04</v>
      </c>
    </row>
    <row r="124" spans="1:18" s="30" customFormat="1" ht="26.25">
      <c r="A124" s="61"/>
      <c r="B124" s="56" t="s">
        <v>74</v>
      </c>
      <c r="C124" s="57">
        <v>90</v>
      </c>
      <c r="D124" s="57">
        <f>C124*25%</f>
        <v>22.5</v>
      </c>
      <c r="E124" s="57">
        <v>75</v>
      </c>
      <c r="F124" s="57">
        <f>E124*18.2%</f>
        <v>13.65</v>
      </c>
      <c r="G124" s="57">
        <f>E124*18.4%</f>
        <v>13.799999999999999</v>
      </c>
      <c r="H124" s="57">
        <f>E124*0.7%</f>
        <v>0.52499999999999991</v>
      </c>
      <c r="I124" s="57">
        <f>E124*241%</f>
        <v>180.75</v>
      </c>
      <c r="J124" s="57">
        <f>E124*0.07%</f>
        <v>5.2500000000000005E-2</v>
      </c>
      <c r="K124" s="57">
        <v>0</v>
      </c>
      <c r="L124" s="57">
        <f>E124*0.07%</f>
        <v>5.2500000000000005E-2</v>
      </c>
      <c r="M124" s="57">
        <f>E124*16%</f>
        <v>12</v>
      </c>
      <c r="N124" s="57">
        <f>E124*165%</f>
        <v>123.75</v>
      </c>
      <c r="O124" s="57">
        <f>E124*18%</f>
        <v>13.5</v>
      </c>
      <c r="P124" s="57">
        <f>E124*1.6%</f>
        <v>1.2</v>
      </c>
      <c r="Q124" s="57">
        <v>270</v>
      </c>
      <c r="R124" s="57">
        <f>C124/1000*270</f>
        <v>24.3</v>
      </c>
    </row>
    <row r="125" spans="1:18" s="30" customFormat="1" ht="26.25">
      <c r="A125" s="61"/>
      <c r="B125" s="89" t="s">
        <v>69</v>
      </c>
      <c r="C125" s="59">
        <f t="shared" ref="C125:P125" si="13">SUM(C120:C124)</f>
        <v>201</v>
      </c>
      <c r="D125" s="59">
        <f t="shared" si="13"/>
        <v>31.66</v>
      </c>
      <c r="E125" s="59">
        <f t="shared" si="13"/>
        <v>176.84</v>
      </c>
      <c r="F125" s="59">
        <f t="shared" si="13"/>
        <v>15.21576</v>
      </c>
      <c r="G125" s="59">
        <f t="shared" si="13"/>
        <v>24.009999999999998</v>
      </c>
      <c r="H125" s="59">
        <f t="shared" si="13"/>
        <v>12.10244</v>
      </c>
      <c r="I125" s="59">
        <f t="shared" si="13"/>
        <v>236.60339999999999</v>
      </c>
      <c r="J125" s="59">
        <f t="shared" si="13"/>
        <v>0.14141999999999999</v>
      </c>
      <c r="K125" s="59">
        <f t="shared" si="13"/>
        <v>13.184000000000001</v>
      </c>
      <c r="L125" s="59">
        <f t="shared" si="13"/>
        <v>5.2500000000000005E-2</v>
      </c>
      <c r="M125" s="59">
        <f t="shared" si="13"/>
        <v>33.970399999999998</v>
      </c>
      <c r="N125" s="59">
        <f t="shared" si="13"/>
        <v>176.41720000000001</v>
      </c>
      <c r="O125" s="59">
        <f t="shared" si="13"/>
        <v>35.657600000000002</v>
      </c>
      <c r="P125" s="59">
        <f t="shared" si="13"/>
        <v>1.96472</v>
      </c>
      <c r="Q125" s="59"/>
      <c r="R125" s="59">
        <f>SUM(R120:R124)</f>
        <v>32.090000000000003</v>
      </c>
    </row>
    <row r="126" spans="1:18" s="65" customFormat="1" ht="24" customHeight="1">
      <c r="A126" s="61"/>
      <c r="B126" s="53" t="s">
        <v>127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5"/>
    </row>
    <row r="127" spans="1:18" s="30" customFormat="1" ht="26.25">
      <c r="A127" s="61"/>
      <c r="B127" s="56" t="s">
        <v>72</v>
      </c>
      <c r="C127" s="57">
        <v>30</v>
      </c>
      <c r="D127" s="57">
        <f>C127*0.25</f>
        <v>7.5</v>
      </c>
      <c r="E127" s="57">
        <f>C127-D127</f>
        <v>22.5</v>
      </c>
      <c r="F127" s="57">
        <f>E127*2%</f>
        <v>0.45</v>
      </c>
      <c r="G127" s="57">
        <f>E127*0.4%</f>
        <v>0.09</v>
      </c>
      <c r="H127" s="57">
        <f>E127*16.3%</f>
        <v>3.6675</v>
      </c>
      <c r="I127" s="57">
        <f>E127*80%</f>
        <v>18</v>
      </c>
      <c r="J127" s="57">
        <f>E127*0.12%</f>
        <v>2.6999999999999996E-2</v>
      </c>
      <c r="K127" s="57">
        <f>E127*20%</f>
        <v>4.5</v>
      </c>
      <c r="L127" s="57">
        <v>0</v>
      </c>
      <c r="M127" s="57">
        <f>E127*10%</f>
        <v>2.25</v>
      </c>
      <c r="N127" s="57">
        <f>E127*58%</f>
        <v>13.049999999999999</v>
      </c>
      <c r="O127" s="57">
        <f>E127*23%</f>
        <v>5.1749999999999998</v>
      </c>
      <c r="P127" s="57">
        <f>E127*0.9%</f>
        <v>0.20250000000000001</v>
      </c>
      <c r="Q127" s="57">
        <v>57</v>
      </c>
      <c r="R127" s="57">
        <f>C127/1000*57</f>
        <v>1.71</v>
      </c>
    </row>
    <row r="128" spans="1:18" s="30" customFormat="1" ht="26.25">
      <c r="A128" s="61"/>
      <c r="B128" s="56" t="s">
        <v>15</v>
      </c>
      <c r="C128" s="57">
        <v>30</v>
      </c>
      <c r="D128" s="57">
        <f>C128*0.2</f>
        <v>6</v>
      </c>
      <c r="E128" s="57">
        <f>C128-D128</f>
        <v>24</v>
      </c>
      <c r="F128" s="57">
        <f>E128*1.3%</f>
        <v>0.31200000000000006</v>
      </c>
      <c r="G128" s="95">
        <f>E128*0.001</f>
        <v>2.4E-2</v>
      </c>
      <c r="H128" s="57">
        <f>E128*0.072</f>
        <v>1.7279999999999998</v>
      </c>
      <c r="I128" s="57">
        <f>E128*0.3</f>
        <v>7.1999999999999993</v>
      </c>
      <c r="J128" s="57">
        <f>E128*0.06%</f>
        <v>1.44E-2</v>
      </c>
      <c r="K128" s="57">
        <f>E128*5%</f>
        <v>1.2000000000000002</v>
      </c>
      <c r="L128" s="57">
        <v>0</v>
      </c>
      <c r="M128" s="57">
        <f>E128*51%</f>
        <v>12.24</v>
      </c>
      <c r="N128" s="57">
        <f>E128*55%</f>
        <v>13.200000000000001</v>
      </c>
      <c r="O128" s="57">
        <f>E128*38%</f>
        <v>9.120000000000001</v>
      </c>
      <c r="P128" s="57">
        <f>E128*0.7%</f>
        <v>0.16799999999999998</v>
      </c>
      <c r="Q128" s="57">
        <v>60</v>
      </c>
      <c r="R128" s="56">
        <f>C128/1000*60</f>
        <v>1.7999999999999998</v>
      </c>
    </row>
    <row r="129" spans="1:18" s="30" customFormat="1" ht="26.25">
      <c r="A129" s="61"/>
      <c r="B129" s="94" t="s">
        <v>71</v>
      </c>
      <c r="C129" s="57">
        <v>30</v>
      </c>
      <c r="D129" s="57">
        <f>C129*0.2</f>
        <v>6</v>
      </c>
      <c r="E129" s="57">
        <f>C129-D129</f>
        <v>24</v>
      </c>
      <c r="F129" s="57">
        <f>E129*0.015</f>
        <v>0.36</v>
      </c>
      <c r="G129" s="57">
        <f>E129*0.001</f>
        <v>2.4E-2</v>
      </c>
      <c r="H129" s="57">
        <f>E129*0.091</f>
        <v>2.1840000000000002</v>
      </c>
      <c r="I129" s="57">
        <f>E129*0.42</f>
        <v>10.08</v>
      </c>
      <c r="J129" s="57">
        <f>E129*0.02%</f>
        <v>4.8000000000000004E-3</v>
      </c>
      <c r="K129" s="57">
        <f>E129*10%</f>
        <v>2.4000000000000004</v>
      </c>
      <c r="L129" s="57">
        <v>0</v>
      </c>
      <c r="M129" s="57">
        <f>E129*37%</f>
        <v>8.879999999999999</v>
      </c>
      <c r="N129" s="57">
        <f>E129*43%</f>
        <v>10.32</v>
      </c>
      <c r="O129" s="57">
        <f>E129*22%</f>
        <v>5.28</v>
      </c>
      <c r="P129" s="57">
        <f>E129*1.4%</f>
        <v>0.33599999999999997</v>
      </c>
      <c r="Q129" s="57">
        <v>60</v>
      </c>
      <c r="R129" s="57">
        <f>C129/1000*60</f>
        <v>1.7999999999999998</v>
      </c>
    </row>
    <row r="130" spans="1:18" s="147" customFormat="1" ht="15.75" customHeight="1">
      <c r="A130" s="171"/>
      <c r="B130" s="94" t="s">
        <v>77</v>
      </c>
      <c r="C130" s="146">
        <v>10</v>
      </c>
      <c r="D130" s="146">
        <v>0</v>
      </c>
      <c r="E130" s="146">
        <f>C130-D130</f>
        <v>10</v>
      </c>
      <c r="F130" s="146">
        <v>0</v>
      </c>
      <c r="G130" s="152">
        <f>E130*0.999</f>
        <v>9.99</v>
      </c>
      <c r="H130" s="146">
        <v>0</v>
      </c>
      <c r="I130" s="146">
        <f>E130*8.99</f>
        <v>89.9</v>
      </c>
      <c r="J130" s="146">
        <f>E130*0.06%</f>
        <v>5.9999999999999993E-3</v>
      </c>
      <c r="K130" s="146">
        <v>0</v>
      </c>
      <c r="L130" s="146">
        <v>0</v>
      </c>
      <c r="M130" s="146">
        <v>0</v>
      </c>
      <c r="N130" s="146">
        <v>0</v>
      </c>
      <c r="O130" s="146">
        <v>0</v>
      </c>
      <c r="P130" s="146">
        <v>0</v>
      </c>
      <c r="Q130" s="146">
        <v>180</v>
      </c>
      <c r="R130" s="146">
        <f>C130/1000*180</f>
        <v>1.8</v>
      </c>
    </row>
    <row r="131" spans="1:18" s="30" customFormat="1" ht="26.25">
      <c r="A131" s="61"/>
      <c r="B131" s="94" t="s">
        <v>17</v>
      </c>
      <c r="C131" s="57">
        <v>7</v>
      </c>
      <c r="D131" s="57">
        <v>0</v>
      </c>
      <c r="E131" s="57">
        <f>C131-D131</f>
        <v>7</v>
      </c>
      <c r="F131" s="57">
        <v>0</v>
      </c>
      <c r="G131" s="95">
        <f>E131*0.999</f>
        <v>6.9930000000000003</v>
      </c>
      <c r="H131" s="57">
        <v>0</v>
      </c>
      <c r="I131" s="57">
        <f>E131*8.99</f>
        <v>62.93</v>
      </c>
      <c r="J131" s="57">
        <f>E131*0.06%</f>
        <v>4.1999999999999997E-3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7">
        <v>150</v>
      </c>
      <c r="R131" s="57">
        <f>C131/1000*150</f>
        <v>1.05</v>
      </c>
    </row>
    <row r="132" spans="1:18" s="30" customFormat="1" ht="26.25">
      <c r="A132" s="61"/>
      <c r="B132" s="89" t="s">
        <v>69</v>
      </c>
      <c r="C132" s="59">
        <f t="shared" ref="C132:P132" si="14">SUM(C127:C131)</f>
        <v>107</v>
      </c>
      <c r="D132" s="59">
        <f t="shared" si="14"/>
        <v>19.5</v>
      </c>
      <c r="E132" s="59">
        <f t="shared" si="14"/>
        <v>87.5</v>
      </c>
      <c r="F132" s="59">
        <f t="shared" si="14"/>
        <v>1.1219999999999999</v>
      </c>
      <c r="G132" s="59">
        <f t="shared" si="14"/>
        <v>17.121000000000002</v>
      </c>
      <c r="H132" s="59">
        <f t="shared" si="14"/>
        <v>7.5795000000000003</v>
      </c>
      <c r="I132" s="59">
        <f t="shared" si="14"/>
        <v>188.11</v>
      </c>
      <c r="J132" s="59">
        <f t="shared" si="14"/>
        <v>5.6399999999999992E-2</v>
      </c>
      <c r="K132" s="59">
        <f t="shared" si="14"/>
        <v>8.1000000000000014</v>
      </c>
      <c r="L132" s="59">
        <f t="shared" si="14"/>
        <v>0</v>
      </c>
      <c r="M132" s="59">
        <f t="shared" si="14"/>
        <v>23.369999999999997</v>
      </c>
      <c r="N132" s="59">
        <f t="shared" si="14"/>
        <v>36.57</v>
      </c>
      <c r="O132" s="59">
        <f t="shared" si="14"/>
        <v>19.575000000000003</v>
      </c>
      <c r="P132" s="59">
        <f t="shared" si="14"/>
        <v>0.70649999999999991</v>
      </c>
      <c r="Q132" s="59"/>
      <c r="R132" s="59">
        <f t="shared" ref="R132" si="15">SUM(R127:R131)</f>
        <v>8.16</v>
      </c>
    </row>
    <row r="133" spans="1:18" s="65" customFormat="1" ht="26.25">
      <c r="A133" s="61"/>
      <c r="B133" s="62" t="s">
        <v>104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4"/>
    </row>
    <row r="134" spans="1:18" s="30" customFormat="1" ht="26.25">
      <c r="A134" s="61"/>
      <c r="B134" s="59" t="s">
        <v>69</v>
      </c>
      <c r="C134" s="59">
        <v>30</v>
      </c>
      <c r="D134" s="59">
        <v>0</v>
      </c>
      <c r="E134" s="59">
        <v>30</v>
      </c>
      <c r="F134" s="59">
        <f>E134*7.9%</f>
        <v>2.37</v>
      </c>
      <c r="G134" s="59">
        <f>E134*1%</f>
        <v>0.3</v>
      </c>
      <c r="H134" s="59">
        <f>E134*48.1%</f>
        <v>14.430000000000001</v>
      </c>
      <c r="I134" s="59">
        <f>E134*239%</f>
        <v>71.7</v>
      </c>
      <c r="J134" s="59">
        <f>E134*0.16%</f>
        <v>4.8000000000000001E-2</v>
      </c>
      <c r="K134" s="59">
        <v>0</v>
      </c>
      <c r="L134" s="59">
        <v>0</v>
      </c>
      <c r="M134" s="59">
        <f>E134*23%</f>
        <v>6.9</v>
      </c>
      <c r="N134" s="59">
        <f>E134*87%</f>
        <v>26.1</v>
      </c>
      <c r="O134" s="59">
        <f>E134*33%</f>
        <v>9.9</v>
      </c>
      <c r="P134" s="59">
        <f>E134*2%</f>
        <v>0.6</v>
      </c>
      <c r="Q134" s="59">
        <v>50</v>
      </c>
      <c r="R134" s="59">
        <f>C134/1000*50</f>
        <v>1.5</v>
      </c>
    </row>
    <row r="135" spans="1:18" s="30" customFormat="1" ht="26.25">
      <c r="A135" s="60"/>
      <c r="B135" s="100" t="s">
        <v>105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</row>
    <row r="136" spans="1:18" s="30" customFormat="1" ht="26.25">
      <c r="A136" s="61"/>
      <c r="B136" s="57" t="s">
        <v>52</v>
      </c>
      <c r="C136" s="57">
        <v>1</v>
      </c>
      <c r="D136" s="57">
        <v>0</v>
      </c>
      <c r="E136" s="57">
        <f>C136-D136</f>
        <v>1</v>
      </c>
      <c r="F136" s="57">
        <f>E136*21.74%</f>
        <v>0.21739999999999998</v>
      </c>
      <c r="G136" s="57">
        <f>E136*7.61%</f>
        <v>7.6100000000000001E-2</v>
      </c>
      <c r="H136" s="57">
        <f>E136*2.86%</f>
        <v>2.86E-2</v>
      </c>
      <c r="I136" s="57">
        <f>E136*9.18%</f>
        <v>9.1799999999999993E-2</v>
      </c>
      <c r="J136" s="57">
        <f>E136*4.7%</f>
        <v>4.7E-2</v>
      </c>
      <c r="K136" s="57">
        <f>E136*11%</f>
        <v>0.11</v>
      </c>
      <c r="L136" s="57">
        <f>E136*5.6%</f>
        <v>5.5999999999999994E-2</v>
      </c>
      <c r="M136" s="57">
        <f>E136*50%</f>
        <v>0.5</v>
      </c>
      <c r="N136" s="57">
        <f>E136*10%</f>
        <v>0.1</v>
      </c>
      <c r="O136" s="57">
        <f>E136*110%</f>
        <v>1.1000000000000001</v>
      </c>
      <c r="P136" s="57">
        <f>E136*456%</f>
        <v>4.5599999999999996</v>
      </c>
      <c r="Q136" s="57">
        <v>950</v>
      </c>
      <c r="R136" s="57">
        <f>C136/1000*950</f>
        <v>0.95000000000000007</v>
      </c>
    </row>
    <row r="137" spans="1:18" s="30" customFormat="1" ht="26.25">
      <c r="A137" s="60"/>
      <c r="B137" s="57" t="s">
        <v>68</v>
      </c>
      <c r="C137" s="57">
        <v>15</v>
      </c>
      <c r="D137" s="57">
        <v>0</v>
      </c>
      <c r="E137" s="57">
        <v>15</v>
      </c>
      <c r="F137" s="57">
        <v>0</v>
      </c>
      <c r="G137" s="57">
        <v>0</v>
      </c>
      <c r="H137" s="57">
        <f>E137*99.8%</f>
        <v>14.97</v>
      </c>
      <c r="I137" s="57">
        <f>E137*379%</f>
        <v>56.85</v>
      </c>
      <c r="J137" s="57">
        <v>0</v>
      </c>
      <c r="K137" s="57">
        <v>0</v>
      </c>
      <c r="L137" s="57">
        <v>0</v>
      </c>
      <c r="M137" s="57">
        <f>E137*2%</f>
        <v>0.3</v>
      </c>
      <c r="N137" s="57">
        <v>0</v>
      </c>
      <c r="O137" s="57">
        <v>0</v>
      </c>
      <c r="P137" s="57">
        <f>E137*0.3%</f>
        <v>4.4999999999999998E-2</v>
      </c>
      <c r="Q137" s="57">
        <v>60</v>
      </c>
      <c r="R137" s="57">
        <f>C137/1000*60</f>
        <v>0.89999999999999991</v>
      </c>
    </row>
    <row r="138" spans="1:18" s="30" customFormat="1" ht="26.25">
      <c r="A138" s="60"/>
      <c r="B138" s="59" t="s">
        <v>69</v>
      </c>
      <c r="C138" s="59">
        <f>SUM(C136:C137)</f>
        <v>16</v>
      </c>
      <c r="D138" s="59">
        <f>SUM(D137:D137)</f>
        <v>0</v>
      </c>
      <c r="E138" s="59">
        <v>150</v>
      </c>
      <c r="F138" s="59">
        <f t="shared" ref="F138:P138" si="16">SUM(F137:F137)</f>
        <v>0</v>
      </c>
      <c r="G138" s="59">
        <f t="shared" si="16"/>
        <v>0</v>
      </c>
      <c r="H138" s="59">
        <f t="shared" si="16"/>
        <v>14.97</v>
      </c>
      <c r="I138" s="59">
        <f t="shared" si="16"/>
        <v>56.85</v>
      </c>
      <c r="J138" s="59">
        <f t="shared" si="16"/>
        <v>0</v>
      </c>
      <c r="K138" s="59">
        <f t="shared" si="16"/>
        <v>0</v>
      </c>
      <c r="L138" s="59">
        <f t="shared" si="16"/>
        <v>0</v>
      </c>
      <c r="M138" s="59">
        <f t="shared" si="16"/>
        <v>0.3</v>
      </c>
      <c r="N138" s="59">
        <f t="shared" si="16"/>
        <v>0</v>
      </c>
      <c r="O138" s="59">
        <f t="shared" si="16"/>
        <v>0</v>
      </c>
      <c r="P138" s="59">
        <f t="shared" si="16"/>
        <v>4.4999999999999998E-2</v>
      </c>
      <c r="Q138" s="59"/>
      <c r="R138" s="59">
        <f>SUM(R136:R137)</f>
        <v>1.85</v>
      </c>
    </row>
    <row r="139" spans="1:18" s="30" customFormat="1" ht="26.25">
      <c r="A139" s="61"/>
      <c r="B139" s="66" t="s">
        <v>111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8"/>
    </row>
    <row r="140" spans="1:18" s="30" customFormat="1" ht="26.25">
      <c r="A140" s="61"/>
      <c r="B140" s="59" t="s">
        <v>69</v>
      </c>
      <c r="C140" s="59">
        <v>40</v>
      </c>
      <c r="D140" s="59">
        <v>0</v>
      </c>
      <c r="E140" s="59">
        <f>C140-D140</f>
        <v>40</v>
      </c>
      <c r="F140" s="57">
        <f>E140*7.5%</f>
        <v>3</v>
      </c>
      <c r="G140" s="57">
        <f>E140*11.8%</f>
        <v>4.7200000000000006</v>
      </c>
      <c r="H140" s="57">
        <f>E140*74.4%</f>
        <v>29.760000000000005</v>
      </c>
      <c r="I140" s="57">
        <f>E140*436%</f>
        <v>174.4</v>
      </c>
      <c r="J140" s="57">
        <f>E140*0.08%</f>
        <v>3.2000000000000001E-2</v>
      </c>
      <c r="K140" s="57">
        <f>E140*0%</f>
        <v>0</v>
      </c>
      <c r="L140" s="57">
        <f>E140*0%</f>
        <v>0</v>
      </c>
      <c r="M140" s="57">
        <f>E140*29%</f>
        <v>11.6</v>
      </c>
      <c r="N140" s="57">
        <f>E140*90%</f>
        <v>36</v>
      </c>
      <c r="O140" s="57">
        <f>E140*20%</f>
        <v>8</v>
      </c>
      <c r="P140" s="57">
        <f>E140*2.1%</f>
        <v>0.84000000000000008</v>
      </c>
      <c r="Q140" s="57">
        <v>160</v>
      </c>
      <c r="R140" s="59">
        <f>C140/1000*160</f>
        <v>6.4</v>
      </c>
    </row>
    <row r="141" spans="1:18" s="30" customFormat="1" ht="24.75" customHeight="1">
      <c r="A141" s="61"/>
      <c r="B141" s="62" t="s">
        <v>109</v>
      </c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4"/>
    </row>
    <row r="142" spans="1:18" s="30" customFormat="1" ht="26.25">
      <c r="A142" s="61"/>
      <c r="B142" s="59" t="s">
        <v>69</v>
      </c>
      <c r="C142" s="59">
        <v>140</v>
      </c>
      <c r="D142" s="59">
        <v>0</v>
      </c>
      <c r="E142" s="59">
        <v>125</v>
      </c>
      <c r="F142" s="59">
        <f>E142*0.4%</f>
        <v>0.5</v>
      </c>
      <c r="G142" s="59">
        <f>E142*0.4%</f>
        <v>0.5</v>
      </c>
      <c r="H142" s="59">
        <f>E142*9.8%</f>
        <v>12.25</v>
      </c>
      <c r="I142" s="59">
        <f>E142*45%</f>
        <v>56.25</v>
      </c>
      <c r="J142" s="59">
        <f>E142*0.03%</f>
        <v>3.7499999999999999E-2</v>
      </c>
      <c r="K142" s="59">
        <f>E142*13%</f>
        <v>16.25</v>
      </c>
      <c r="L142" s="59">
        <v>0</v>
      </c>
      <c r="M142" s="59">
        <f>E142*16%</f>
        <v>20</v>
      </c>
      <c r="N142" s="59">
        <f>E142*11%</f>
        <v>13.75</v>
      </c>
      <c r="O142" s="59">
        <f>E142*9%</f>
        <v>11.25</v>
      </c>
      <c r="P142" s="59">
        <f>E142*2.2%</f>
        <v>2.7500000000000004</v>
      </c>
      <c r="Q142" s="59">
        <v>78</v>
      </c>
      <c r="R142" s="59">
        <f>C142/1000*78</f>
        <v>10.920000000000002</v>
      </c>
    </row>
    <row r="143" spans="1:18" s="30" customFormat="1" ht="26.25">
      <c r="A143" s="61"/>
      <c r="B143" s="66" t="s">
        <v>102</v>
      </c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8"/>
    </row>
    <row r="144" spans="1:18" s="30" customFormat="1" ht="26.25">
      <c r="A144" s="61"/>
      <c r="B144" s="59" t="s">
        <v>69</v>
      </c>
      <c r="C144" s="69">
        <v>3</v>
      </c>
      <c r="D144" s="59">
        <v>0</v>
      </c>
      <c r="E144" s="69">
        <f>C144-D144</f>
        <v>3</v>
      </c>
      <c r="F144" s="59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59">
        <v>20</v>
      </c>
      <c r="R144" s="69">
        <f>C144/1000*20</f>
        <v>0.06</v>
      </c>
    </row>
    <row r="145" spans="1:18" s="30" customFormat="1" ht="26.25">
      <c r="A145" s="61"/>
      <c r="B145" s="59"/>
      <c r="C145" s="69"/>
      <c r="D145" s="59"/>
      <c r="E145" s="6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69"/>
    </row>
    <row r="146" spans="1:18" s="30" customFormat="1" ht="26.25">
      <c r="A146" s="60"/>
      <c r="B146" s="59" t="s">
        <v>69</v>
      </c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>
        <f>R144+R142+R140+R138+R134+R132+R125</f>
        <v>60.980000000000004</v>
      </c>
    </row>
    <row r="147" spans="1:18" s="172" customFormat="1" ht="23.2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1:18" s="172" customFormat="1" ht="23.2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1:18" s="172" customFormat="1" ht="18.7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1:18" s="30" customFormat="1" ht="26.25">
      <c r="A150" s="60"/>
      <c r="B150" s="73" t="s">
        <v>0</v>
      </c>
      <c r="C150" s="74" t="s">
        <v>18</v>
      </c>
      <c r="D150" s="75" t="s">
        <v>20</v>
      </c>
      <c r="E150" s="75" t="s">
        <v>19</v>
      </c>
      <c r="F150" s="35" t="s">
        <v>1</v>
      </c>
      <c r="G150" s="35" t="s">
        <v>2</v>
      </c>
      <c r="H150" s="35" t="s">
        <v>3</v>
      </c>
      <c r="I150" s="35" t="s">
        <v>4</v>
      </c>
      <c r="J150" s="76" t="s">
        <v>5</v>
      </c>
      <c r="K150" s="76"/>
      <c r="L150" s="76"/>
      <c r="M150" s="76" t="s">
        <v>6</v>
      </c>
      <c r="N150" s="76"/>
      <c r="O150" s="76"/>
      <c r="P150" s="76"/>
      <c r="Q150" s="35" t="s">
        <v>66</v>
      </c>
      <c r="R150" s="173" t="s">
        <v>115</v>
      </c>
    </row>
    <row r="151" spans="1:18" s="30" customFormat="1" ht="26.25">
      <c r="A151" s="60"/>
      <c r="B151" s="73"/>
      <c r="C151" s="78"/>
      <c r="D151" s="79"/>
      <c r="E151" s="79"/>
      <c r="F151" s="44"/>
      <c r="G151" s="44"/>
      <c r="H151" s="44"/>
      <c r="I151" s="44"/>
      <c r="J151" s="35" t="s">
        <v>7</v>
      </c>
      <c r="K151" s="34" t="s">
        <v>8</v>
      </c>
      <c r="L151" s="35" t="s">
        <v>9</v>
      </c>
      <c r="M151" s="35" t="s">
        <v>10</v>
      </c>
      <c r="N151" s="35" t="s">
        <v>11</v>
      </c>
      <c r="O151" s="35" t="s">
        <v>12</v>
      </c>
      <c r="P151" s="35" t="s">
        <v>13</v>
      </c>
      <c r="Q151" s="44"/>
      <c r="R151" s="174"/>
    </row>
    <row r="152" spans="1:18" s="30" customFormat="1" ht="26.25">
      <c r="A152" s="60"/>
      <c r="B152" s="81" t="s">
        <v>83</v>
      </c>
      <c r="C152" s="82"/>
      <c r="D152" s="83"/>
      <c r="E152" s="83"/>
      <c r="F152" s="50"/>
      <c r="G152" s="50"/>
      <c r="H152" s="50"/>
      <c r="I152" s="50"/>
      <c r="J152" s="50"/>
      <c r="K152" s="49"/>
      <c r="L152" s="50"/>
      <c r="M152" s="50"/>
      <c r="N152" s="50"/>
      <c r="O152" s="50"/>
      <c r="P152" s="50"/>
      <c r="Q152" s="50"/>
      <c r="R152" s="175"/>
    </row>
    <row r="153" spans="1:18" s="30" customFormat="1" ht="26.25">
      <c r="A153" s="52"/>
      <c r="B153" s="53" t="s">
        <v>130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</row>
    <row r="154" spans="1:18" s="30" customFormat="1" ht="26.25">
      <c r="A154" s="52"/>
      <c r="B154" s="56" t="s">
        <v>21</v>
      </c>
      <c r="C154" s="57">
        <v>50</v>
      </c>
      <c r="D154" s="57">
        <v>0</v>
      </c>
      <c r="E154" s="57">
        <f>C154-D154</f>
        <v>50</v>
      </c>
      <c r="F154" s="57">
        <f>E154*12.6%</f>
        <v>6.3</v>
      </c>
      <c r="G154" s="57">
        <f>E154*3.3%</f>
        <v>1.6500000000000001</v>
      </c>
      <c r="H154" s="57">
        <f>E154*62.1%</f>
        <v>31.05</v>
      </c>
      <c r="I154" s="57">
        <f>E154*335%</f>
        <v>167.5</v>
      </c>
      <c r="J154" s="57">
        <f>E154*0.43%</f>
        <v>0.215</v>
      </c>
      <c r="K154" s="57">
        <v>0</v>
      </c>
      <c r="L154" s="57">
        <v>0</v>
      </c>
      <c r="M154" s="57">
        <f>E154*20%</f>
        <v>10</v>
      </c>
      <c r="N154" s="57">
        <f>E154*298%</f>
        <v>149</v>
      </c>
      <c r="O154" s="57">
        <f>E154*200%</f>
        <v>100</v>
      </c>
      <c r="P154" s="57">
        <f>E154*6.7%</f>
        <v>3.35</v>
      </c>
      <c r="Q154" s="57">
        <v>85</v>
      </c>
      <c r="R154" s="58">
        <f>C154/1000*85</f>
        <v>4.25</v>
      </c>
    </row>
    <row r="155" spans="1:18" s="30" customFormat="1" ht="26.25">
      <c r="A155" s="52"/>
      <c r="B155" s="56" t="s">
        <v>22</v>
      </c>
      <c r="C155" s="57">
        <v>15</v>
      </c>
      <c r="D155" s="57">
        <v>0</v>
      </c>
      <c r="E155" s="57">
        <f>C155-D155</f>
        <v>15</v>
      </c>
      <c r="F155" s="57">
        <f>E155*0.5%</f>
        <v>7.4999999999999997E-2</v>
      </c>
      <c r="G155" s="57">
        <f>E155*82.5%</f>
        <v>12.375</v>
      </c>
      <c r="H155" s="57">
        <f>E155*0.8%</f>
        <v>0.12</v>
      </c>
      <c r="I155" s="57">
        <f>E155*748%</f>
        <v>112.2</v>
      </c>
      <c r="J155" s="57">
        <v>0</v>
      </c>
      <c r="K155" s="57">
        <v>0</v>
      </c>
      <c r="L155" s="57">
        <f>E155*0.59%</f>
        <v>8.8499999999999995E-2</v>
      </c>
      <c r="M155" s="57">
        <f>E155*12%</f>
        <v>1.7999999999999998</v>
      </c>
      <c r="N155" s="57">
        <f>E155*19%</f>
        <v>2.85</v>
      </c>
      <c r="O155" s="57">
        <f>E155*0.4%</f>
        <v>0.06</v>
      </c>
      <c r="P155" s="57">
        <f>E155*0.2%</f>
        <v>0.03</v>
      </c>
      <c r="Q155" s="57">
        <v>480</v>
      </c>
      <c r="R155" s="58">
        <f>C155/1000*480</f>
        <v>7.1999999999999993</v>
      </c>
    </row>
    <row r="156" spans="1:18" s="30" customFormat="1" ht="26.25">
      <c r="A156" s="52"/>
      <c r="B156" s="52" t="s">
        <v>69</v>
      </c>
      <c r="C156" s="59">
        <f>C155+C154</f>
        <v>65</v>
      </c>
      <c r="D156" s="59">
        <v>0</v>
      </c>
      <c r="E156" s="59">
        <v>110</v>
      </c>
      <c r="F156" s="59">
        <f t="shared" ref="F156:P156" si="17">SUM(F154:F155)</f>
        <v>6.375</v>
      </c>
      <c r="G156" s="59">
        <f t="shared" si="17"/>
        <v>14.025</v>
      </c>
      <c r="H156" s="59">
        <f t="shared" si="17"/>
        <v>31.17</v>
      </c>
      <c r="I156" s="59">
        <f t="shared" si="17"/>
        <v>279.7</v>
      </c>
      <c r="J156" s="59">
        <f t="shared" si="17"/>
        <v>0.215</v>
      </c>
      <c r="K156" s="59">
        <f t="shared" si="17"/>
        <v>0</v>
      </c>
      <c r="L156" s="59">
        <f t="shared" si="17"/>
        <v>8.8499999999999995E-2</v>
      </c>
      <c r="M156" s="59">
        <f t="shared" si="17"/>
        <v>11.8</v>
      </c>
      <c r="N156" s="59">
        <f t="shared" si="17"/>
        <v>151.85</v>
      </c>
      <c r="O156" s="59">
        <f t="shared" si="17"/>
        <v>100.06</v>
      </c>
      <c r="P156" s="59">
        <f t="shared" si="17"/>
        <v>3.38</v>
      </c>
      <c r="Q156" s="59"/>
      <c r="R156" s="59">
        <f>SUM(R154:R155)</f>
        <v>11.45</v>
      </c>
    </row>
    <row r="157" spans="1:18" s="30" customFormat="1" ht="26.25">
      <c r="A157" s="60"/>
      <c r="B157" s="85" t="s">
        <v>134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7"/>
    </row>
    <row r="158" spans="1:18" s="30" customFormat="1" ht="22.5" customHeight="1">
      <c r="A158" s="52"/>
      <c r="B158" s="56" t="s">
        <v>122</v>
      </c>
      <c r="C158" s="57">
        <v>60</v>
      </c>
      <c r="D158" s="57">
        <f>C158*26.4%</f>
        <v>15.84</v>
      </c>
      <c r="E158" s="57">
        <f>SUM(C158-D158)</f>
        <v>44.16</v>
      </c>
      <c r="F158" s="57">
        <f>E158*18.6%</f>
        <v>8.2137600000000006</v>
      </c>
      <c r="G158" s="57">
        <f>E158*16%</f>
        <v>7.0655999999999999</v>
      </c>
      <c r="H158" s="57">
        <v>0</v>
      </c>
      <c r="I158" s="57">
        <f>E158*218%</f>
        <v>96.268799999999999</v>
      </c>
      <c r="J158" s="57">
        <f>E158*0.06%</f>
        <v>2.6495999999999995E-2</v>
      </c>
      <c r="K158" s="57">
        <v>0</v>
      </c>
      <c r="L158" s="57">
        <v>0</v>
      </c>
      <c r="M158" s="57">
        <f>E158*9%</f>
        <v>3.9743999999999997</v>
      </c>
      <c r="N158" s="57">
        <f>E158*188%</f>
        <v>83.020799999999994</v>
      </c>
      <c r="O158" s="57">
        <f>E158*22%</f>
        <v>9.7151999999999994</v>
      </c>
      <c r="P158" s="57">
        <f>E158*2.7%</f>
        <v>1.19232</v>
      </c>
      <c r="Q158" s="57">
        <v>475</v>
      </c>
      <c r="R158" s="57">
        <f>C158/1000*475</f>
        <v>28.5</v>
      </c>
    </row>
    <row r="159" spans="1:18" s="30" customFormat="1" ht="26.25">
      <c r="A159" s="52"/>
      <c r="B159" s="56" t="s">
        <v>15</v>
      </c>
      <c r="C159" s="57">
        <v>24</v>
      </c>
      <c r="D159" s="57">
        <v>5</v>
      </c>
      <c r="E159" s="57">
        <f>C159-D159</f>
        <v>19</v>
      </c>
      <c r="F159" s="57">
        <f>E159*1.3%</f>
        <v>0.24700000000000003</v>
      </c>
      <c r="G159" s="57">
        <v>0</v>
      </c>
      <c r="H159" s="57">
        <f>E159*7.2%</f>
        <v>1.3680000000000001</v>
      </c>
      <c r="I159" s="57">
        <f>E159*30%</f>
        <v>5.7</v>
      </c>
      <c r="J159" s="57">
        <f>E159*0.06%</f>
        <v>1.1399999999999999E-2</v>
      </c>
      <c r="K159" s="57">
        <f>E159*5%</f>
        <v>0.95000000000000007</v>
      </c>
      <c r="L159" s="57">
        <v>0</v>
      </c>
      <c r="M159" s="57">
        <f>E159*51%</f>
        <v>9.69</v>
      </c>
      <c r="N159" s="57">
        <f>E159*55%</f>
        <v>10.450000000000001</v>
      </c>
      <c r="O159" s="57">
        <f>E159*38%</f>
        <v>7.22</v>
      </c>
      <c r="P159" s="57">
        <f>E159*0.7%</f>
        <v>0.13299999999999998</v>
      </c>
      <c r="Q159" s="57">
        <v>60</v>
      </c>
      <c r="R159" s="57">
        <f>C159/1000*60</f>
        <v>1.44</v>
      </c>
    </row>
    <row r="160" spans="1:18" s="30" customFormat="1" ht="26.25">
      <c r="A160" s="52"/>
      <c r="B160" s="56" t="s">
        <v>73</v>
      </c>
      <c r="C160" s="57">
        <v>24</v>
      </c>
      <c r="D160" s="57">
        <f>C160*0.16</f>
        <v>3.84</v>
      </c>
      <c r="E160" s="57">
        <f>C160-D160</f>
        <v>20.16</v>
      </c>
      <c r="F160" s="57">
        <f>E160*1.4%</f>
        <v>0.28223999999999999</v>
      </c>
      <c r="G160" s="30">
        <v>0</v>
      </c>
      <c r="H160" s="57">
        <f>E160*9.1%</f>
        <v>1.83456</v>
      </c>
      <c r="I160" s="57">
        <f>E160*41%</f>
        <v>8.2655999999999992</v>
      </c>
      <c r="J160" s="57">
        <f>E160*0.05%</f>
        <v>1.008E-2</v>
      </c>
      <c r="K160" s="57">
        <f>E160*10%</f>
        <v>2.016</v>
      </c>
      <c r="L160" s="57">
        <v>0</v>
      </c>
      <c r="M160" s="57">
        <f>E160*31%</f>
        <v>6.2496</v>
      </c>
      <c r="N160" s="57">
        <f>E160*58%</f>
        <v>11.6928</v>
      </c>
      <c r="O160" s="57">
        <f>E160*14%</f>
        <v>2.8224000000000005</v>
      </c>
      <c r="P160" s="57">
        <f>E160*0.8%</f>
        <v>0.16128000000000001</v>
      </c>
      <c r="Q160" s="57">
        <v>40</v>
      </c>
      <c r="R160" s="57">
        <f>C160/1000*40</f>
        <v>0.96</v>
      </c>
    </row>
    <row r="161" spans="1:18" s="30" customFormat="1" ht="26.25">
      <c r="A161" s="61"/>
      <c r="B161" s="58" t="s">
        <v>81</v>
      </c>
      <c r="C161" s="58">
        <v>10</v>
      </c>
      <c r="D161" s="58">
        <v>0</v>
      </c>
      <c r="E161" s="58">
        <f>C161-D161</f>
        <v>10</v>
      </c>
      <c r="F161" s="58">
        <f>E161*7.9%</f>
        <v>0.79</v>
      </c>
      <c r="G161" s="58">
        <f>E161*1%</f>
        <v>0.1</v>
      </c>
      <c r="H161" s="58">
        <f>E161*48.1%</f>
        <v>4.8100000000000005</v>
      </c>
      <c r="I161" s="58">
        <f>E161*239%</f>
        <v>23.900000000000002</v>
      </c>
      <c r="J161" s="58">
        <f>E161*0.16%</f>
        <v>1.6E-2</v>
      </c>
      <c r="K161" s="58">
        <v>0</v>
      </c>
      <c r="L161" s="58">
        <v>0</v>
      </c>
      <c r="M161" s="58">
        <f>E161*23%</f>
        <v>2.3000000000000003</v>
      </c>
      <c r="N161" s="58">
        <f>E161*87%</f>
        <v>8.6999999999999993</v>
      </c>
      <c r="O161" s="58">
        <f>E161*33%</f>
        <v>3.3000000000000003</v>
      </c>
      <c r="P161" s="58">
        <f>E161*2%</f>
        <v>0.2</v>
      </c>
      <c r="Q161" s="58">
        <v>30</v>
      </c>
      <c r="R161" s="58">
        <f>C161/1000*30</f>
        <v>0.3</v>
      </c>
    </row>
    <row r="162" spans="1:18" s="30" customFormat="1" ht="26.25">
      <c r="A162" s="176"/>
      <c r="B162" s="151" t="s">
        <v>26</v>
      </c>
      <c r="C162" s="151">
        <v>3</v>
      </c>
      <c r="D162" s="151">
        <v>0</v>
      </c>
      <c r="E162" s="151">
        <f>SUM(C162:D162)</f>
        <v>3</v>
      </c>
      <c r="F162" s="151">
        <f>E162*1%</f>
        <v>0.03</v>
      </c>
      <c r="G162" s="151">
        <v>0</v>
      </c>
      <c r="H162" s="151">
        <f>E162*3.5%</f>
        <v>0.10500000000000001</v>
      </c>
      <c r="I162" s="151">
        <f>E162*19%</f>
        <v>0.57000000000000006</v>
      </c>
      <c r="J162" s="151">
        <f>E162*0.03%</f>
        <v>8.9999999999999998E-4</v>
      </c>
      <c r="K162" s="151">
        <f>E162*10%</f>
        <v>0.30000000000000004</v>
      </c>
      <c r="L162" s="151">
        <v>0</v>
      </c>
      <c r="M162" s="151">
        <f>C162*7%</f>
        <v>0.21000000000000002</v>
      </c>
      <c r="N162" s="151">
        <f>E162*32%</f>
        <v>0.96</v>
      </c>
      <c r="O162" s="151">
        <f>E162*12%</f>
        <v>0.36</v>
      </c>
      <c r="P162" s="151">
        <f>E162*0.7%</f>
        <v>2.0999999999999998E-2</v>
      </c>
      <c r="Q162" s="151">
        <v>150</v>
      </c>
      <c r="R162" s="151">
        <f>C162/1000*150</f>
        <v>0.45</v>
      </c>
    </row>
    <row r="163" spans="1:18" s="30" customFormat="1" ht="26.25">
      <c r="A163" s="52"/>
      <c r="B163" s="56" t="s">
        <v>25</v>
      </c>
      <c r="C163" s="57">
        <v>10</v>
      </c>
      <c r="D163" s="57">
        <v>0</v>
      </c>
      <c r="E163" s="57">
        <f>SUM(C163:D163)</f>
        <v>10</v>
      </c>
      <c r="F163" s="57">
        <v>0</v>
      </c>
      <c r="G163" s="95">
        <f>E163*0.999</f>
        <v>9.99</v>
      </c>
      <c r="H163" s="57">
        <v>0</v>
      </c>
      <c r="I163" s="57">
        <f>E163*8.99%</f>
        <v>0.89900000000000002</v>
      </c>
      <c r="J163" s="57">
        <f>E163*0.06%</f>
        <v>5.9999999999999993E-3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57">
        <v>0</v>
      </c>
      <c r="Q163" s="57">
        <v>150</v>
      </c>
      <c r="R163" s="57">
        <f>C163/1000*150</f>
        <v>1.5</v>
      </c>
    </row>
    <row r="164" spans="1:18" s="143" customFormat="1" ht="26.25">
      <c r="A164" s="153"/>
      <c r="B164" s="142" t="s">
        <v>69</v>
      </c>
      <c r="C164" s="142">
        <f t="shared" ref="C164:P164" si="18">SUM(C158:C163)</f>
        <v>131</v>
      </c>
      <c r="D164" s="142">
        <f t="shared" si="18"/>
        <v>24.68</v>
      </c>
      <c r="E164" s="142">
        <f t="shared" si="18"/>
        <v>106.32</v>
      </c>
      <c r="F164" s="142">
        <f t="shared" si="18"/>
        <v>9.5630000000000006</v>
      </c>
      <c r="G164" s="142">
        <f t="shared" si="18"/>
        <v>17.1556</v>
      </c>
      <c r="H164" s="142">
        <f t="shared" si="18"/>
        <v>8.117560000000001</v>
      </c>
      <c r="I164" s="142">
        <f t="shared" si="18"/>
        <v>135.60339999999999</v>
      </c>
      <c r="J164" s="142">
        <f t="shared" si="18"/>
        <v>7.0875999999999995E-2</v>
      </c>
      <c r="K164" s="142">
        <f t="shared" si="18"/>
        <v>3.266</v>
      </c>
      <c r="L164" s="142">
        <f t="shared" si="18"/>
        <v>0</v>
      </c>
      <c r="M164" s="142">
        <f t="shared" si="18"/>
        <v>22.423999999999999</v>
      </c>
      <c r="N164" s="142">
        <f t="shared" si="18"/>
        <v>114.8236</v>
      </c>
      <c r="O164" s="142">
        <f t="shared" si="18"/>
        <v>23.4176</v>
      </c>
      <c r="P164" s="142">
        <f t="shared" si="18"/>
        <v>1.7076</v>
      </c>
      <c r="Q164" s="142"/>
      <c r="R164" s="142">
        <f>SUM(R158:R163)</f>
        <v>33.150000000000006</v>
      </c>
    </row>
    <row r="165" spans="1:18" s="30" customFormat="1" ht="26.25">
      <c r="A165" s="60"/>
      <c r="B165" s="62" t="s">
        <v>104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4"/>
    </row>
    <row r="166" spans="1:18" s="30" customFormat="1" ht="26.25">
      <c r="A166" s="60"/>
      <c r="B166" s="59" t="s">
        <v>69</v>
      </c>
      <c r="C166" s="59">
        <v>30</v>
      </c>
      <c r="D166" s="59">
        <v>0</v>
      </c>
      <c r="E166" s="59">
        <v>30</v>
      </c>
      <c r="F166" s="59">
        <f>E166*7.9%</f>
        <v>2.37</v>
      </c>
      <c r="G166" s="59">
        <f>E166*1%</f>
        <v>0.3</v>
      </c>
      <c r="H166" s="59">
        <f>E166*48.1%</f>
        <v>14.430000000000001</v>
      </c>
      <c r="I166" s="59">
        <f>E166*239%</f>
        <v>71.7</v>
      </c>
      <c r="J166" s="59">
        <f>E166*0.16%</f>
        <v>4.8000000000000001E-2</v>
      </c>
      <c r="K166" s="59">
        <v>0</v>
      </c>
      <c r="L166" s="59">
        <v>0</v>
      </c>
      <c r="M166" s="59">
        <f>E166*23%</f>
        <v>6.9</v>
      </c>
      <c r="N166" s="59">
        <f>E166*87%</f>
        <v>26.1</v>
      </c>
      <c r="O166" s="59">
        <f>E166*33%</f>
        <v>9.9</v>
      </c>
      <c r="P166" s="59">
        <f>E166*2%</f>
        <v>0.6</v>
      </c>
      <c r="Q166" s="59">
        <v>50</v>
      </c>
      <c r="R166" s="59">
        <f>C166/1000*50</f>
        <v>1.5</v>
      </c>
    </row>
    <row r="167" spans="1:18" s="30" customFormat="1" ht="26.25">
      <c r="A167" s="60"/>
      <c r="B167" s="62" t="s">
        <v>110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4"/>
    </row>
    <row r="168" spans="1:18" s="30" customFormat="1" ht="26.25">
      <c r="A168" s="60"/>
      <c r="B168" s="57" t="s">
        <v>67</v>
      </c>
      <c r="C168" s="57">
        <v>15</v>
      </c>
      <c r="D168" s="57">
        <v>0</v>
      </c>
      <c r="E168" s="57">
        <v>15</v>
      </c>
      <c r="F168" s="57">
        <f>E168*5.2%</f>
        <v>0.78</v>
      </c>
      <c r="G168" s="57">
        <v>0</v>
      </c>
      <c r="H168" s="57">
        <f>E168*55%</f>
        <v>8.25</v>
      </c>
      <c r="I168" s="57">
        <f>E168*234%</f>
        <v>35.099999999999994</v>
      </c>
      <c r="J168" s="57">
        <f>E168*0.1%</f>
        <v>1.4999999999999999E-2</v>
      </c>
      <c r="K168" s="57">
        <f>E168*4%</f>
        <v>0.6</v>
      </c>
      <c r="L168" s="57">
        <v>0</v>
      </c>
      <c r="M168" s="57">
        <f>E168*160%</f>
        <v>24</v>
      </c>
      <c r="N168" s="57">
        <f>E168*146%</f>
        <v>21.9</v>
      </c>
      <c r="O168" s="57">
        <f>E168*105%</f>
        <v>15.75</v>
      </c>
      <c r="P168" s="57">
        <f>E168*3.2%</f>
        <v>0.48</v>
      </c>
      <c r="Q168" s="57">
        <v>350</v>
      </c>
      <c r="R168" s="57">
        <f>C168/1000*350</f>
        <v>5.25</v>
      </c>
    </row>
    <row r="169" spans="1:18" s="30" customFormat="1" ht="26.25">
      <c r="A169" s="60"/>
      <c r="B169" s="57" t="s">
        <v>68</v>
      </c>
      <c r="C169" s="57">
        <v>10</v>
      </c>
      <c r="D169" s="57">
        <v>0</v>
      </c>
      <c r="E169" s="57">
        <v>10</v>
      </c>
      <c r="F169" s="57">
        <v>0</v>
      </c>
      <c r="G169" s="57">
        <v>0</v>
      </c>
      <c r="H169" s="57">
        <f>E169*99.8%</f>
        <v>9.98</v>
      </c>
      <c r="I169" s="57">
        <f>E169*379%</f>
        <v>37.9</v>
      </c>
      <c r="J169" s="57">
        <v>0</v>
      </c>
      <c r="K169" s="57">
        <v>0</v>
      </c>
      <c r="L169" s="57">
        <v>0</v>
      </c>
      <c r="M169" s="57">
        <f>E169*2%</f>
        <v>0.2</v>
      </c>
      <c r="N169" s="57">
        <v>0</v>
      </c>
      <c r="O169" s="57">
        <v>0</v>
      </c>
      <c r="P169" s="57">
        <f>E169*0.3%</f>
        <v>0.03</v>
      </c>
      <c r="Q169" s="57">
        <v>60</v>
      </c>
      <c r="R169" s="57">
        <f>C169/1000*60</f>
        <v>0.6</v>
      </c>
    </row>
    <row r="170" spans="1:18" s="30" customFormat="1" ht="26.25">
      <c r="A170" s="60"/>
      <c r="B170" s="59" t="s">
        <v>69</v>
      </c>
      <c r="C170" s="59">
        <v>25</v>
      </c>
      <c r="D170" s="59">
        <f t="shared" ref="D170" si="19">SUM(D168:D169)</f>
        <v>0</v>
      </c>
      <c r="E170" s="59">
        <v>150</v>
      </c>
      <c r="F170" s="59">
        <f t="shared" ref="F170:P170" si="20">SUM(F168:F169)</f>
        <v>0.78</v>
      </c>
      <c r="G170" s="59">
        <f t="shared" si="20"/>
        <v>0</v>
      </c>
      <c r="H170" s="59">
        <f t="shared" si="20"/>
        <v>18.23</v>
      </c>
      <c r="I170" s="59">
        <f t="shared" si="20"/>
        <v>73</v>
      </c>
      <c r="J170" s="59">
        <f t="shared" si="20"/>
        <v>1.4999999999999999E-2</v>
      </c>
      <c r="K170" s="59">
        <f t="shared" si="20"/>
        <v>0.6</v>
      </c>
      <c r="L170" s="59">
        <f t="shared" si="20"/>
        <v>0</v>
      </c>
      <c r="M170" s="59">
        <f t="shared" si="20"/>
        <v>24.2</v>
      </c>
      <c r="N170" s="59">
        <f t="shared" si="20"/>
        <v>21.9</v>
      </c>
      <c r="O170" s="59">
        <f t="shared" si="20"/>
        <v>15.75</v>
      </c>
      <c r="P170" s="59">
        <f t="shared" si="20"/>
        <v>0.51</v>
      </c>
      <c r="Q170" s="59"/>
      <c r="R170" s="59">
        <f>SUM(R168:R169)</f>
        <v>5.85</v>
      </c>
    </row>
    <row r="171" spans="1:18" s="30" customFormat="1" ht="22.5" customHeight="1">
      <c r="A171" s="61"/>
      <c r="B171" s="62" t="s">
        <v>138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</row>
    <row r="172" spans="1:18" s="30" customFormat="1" ht="26.25">
      <c r="A172" s="61"/>
      <c r="B172" s="59" t="s">
        <v>69</v>
      </c>
      <c r="C172" s="59">
        <v>150</v>
      </c>
      <c r="D172" s="59">
        <v>0</v>
      </c>
      <c r="E172" s="59">
        <f>C172-D172</f>
        <v>150</v>
      </c>
      <c r="F172" s="59">
        <f>E172*0.6%</f>
        <v>0.9</v>
      </c>
      <c r="G172" s="59">
        <f>E172*0.2%</f>
        <v>0.3</v>
      </c>
      <c r="H172" s="59">
        <f>E172*15%</f>
        <v>22.5</v>
      </c>
      <c r="I172" s="59">
        <f>E172*65%</f>
        <v>97.5</v>
      </c>
      <c r="J172" s="59">
        <f>E172*0.05%</f>
        <v>7.4999999999999997E-2</v>
      </c>
      <c r="K172" s="59">
        <f>E172*6%</f>
        <v>9</v>
      </c>
      <c r="L172" s="59">
        <v>0</v>
      </c>
      <c r="M172" s="59">
        <f>E172*45%</f>
        <v>67.5</v>
      </c>
      <c r="N172" s="59">
        <f>E172*22%</f>
        <v>33</v>
      </c>
      <c r="O172" s="59">
        <f>E172*17%</f>
        <v>25.500000000000004</v>
      </c>
      <c r="P172" s="59">
        <f>E172*0.6%</f>
        <v>0.9</v>
      </c>
      <c r="Q172" s="59">
        <v>60</v>
      </c>
      <c r="R172" s="59">
        <f>C172/1000*60</f>
        <v>9</v>
      </c>
    </row>
    <row r="173" spans="1:18" s="30" customFormat="1" ht="26.25">
      <c r="A173" s="60"/>
      <c r="B173" s="66" t="s">
        <v>106</v>
      </c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8"/>
    </row>
    <row r="174" spans="1:18" s="30" customFormat="1" ht="26.25">
      <c r="A174" s="60"/>
      <c r="B174" s="59" t="s">
        <v>69</v>
      </c>
      <c r="C174" s="69">
        <v>3</v>
      </c>
      <c r="D174" s="59">
        <v>0</v>
      </c>
      <c r="E174" s="69">
        <f>C174-D174</f>
        <v>3</v>
      </c>
      <c r="F174" s="59">
        <v>0</v>
      </c>
      <c r="G174" s="59"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0</v>
      </c>
      <c r="Q174" s="59">
        <v>20</v>
      </c>
      <c r="R174" s="69">
        <f>C174/1000*20</f>
        <v>0.06</v>
      </c>
    </row>
    <row r="175" spans="1:18" s="30" customFormat="1" ht="26.25">
      <c r="A175" s="60"/>
      <c r="B175" s="59"/>
      <c r="C175" s="69"/>
      <c r="D175" s="59"/>
      <c r="E175" s="6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69"/>
    </row>
    <row r="176" spans="1:18" s="30" customFormat="1" ht="26.25">
      <c r="A176" s="177"/>
      <c r="B176" s="59" t="s">
        <v>69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>
        <f>R174+R172+R170+R166+R164+R156</f>
        <v>61.010000000000005</v>
      </c>
    </row>
    <row r="177" spans="1:18" s="30" customFormat="1" ht="23.25" customHeight="1">
      <c r="A177" s="178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80"/>
    </row>
    <row r="178" spans="1:18" s="30" customFormat="1" ht="23.25" customHeight="1">
      <c r="A178" s="181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3"/>
    </row>
    <row r="179" spans="1:18" s="30" customFormat="1" ht="23.25" customHeight="1">
      <c r="A179" s="184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6"/>
    </row>
    <row r="180" spans="1:18" s="30" customFormat="1" ht="26.25">
      <c r="A180" s="31"/>
      <c r="B180" s="73" t="s">
        <v>0</v>
      </c>
      <c r="C180" s="74" t="s">
        <v>18</v>
      </c>
      <c r="D180" s="75" t="s">
        <v>20</v>
      </c>
      <c r="E180" s="75" t="s">
        <v>19</v>
      </c>
      <c r="F180" s="35" t="s">
        <v>1</v>
      </c>
      <c r="G180" s="35" t="s">
        <v>2</v>
      </c>
      <c r="H180" s="35" t="s">
        <v>3</v>
      </c>
      <c r="I180" s="35" t="s">
        <v>4</v>
      </c>
      <c r="J180" s="76" t="s">
        <v>5</v>
      </c>
      <c r="K180" s="76"/>
      <c r="L180" s="76"/>
      <c r="M180" s="76" t="s">
        <v>6</v>
      </c>
      <c r="N180" s="76"/>
      <c r="O180" s="76"/>
      <c r="P180" s="76"/>
      <c r="Q180" s="35" t="s">
        <v>66</v>
      </c>
      <c r="R180" s="77" t="s">
        <v>115</v>
      </c>
    </row>
    <row r="181" spans="1:18" s="30" customFormat="1" ht="26.25">
      <c r="A181" s="40"/>
      <c r="B181" s="73"/>
      <c r="C181" s="78"/>
      <c r="D181" s="79"/>
      <c r="E181" s="79"/>
      <c r="F181" s="44"/>
      <c r="G181" s="44"/>
      <c r="H181" s="44"/>
      <c r="I181" s="44"/>
      <c r="J181" s="35" t="s">
        <v>7</v>
      </c>
      <c r="K181" s="34" t="s">
        <v>8</v>
      </c>
      <c r="L181" s="35" t="s">
        <v>9</v>
      </c>
      <c r="M181" s="35" t="s">
        <v>10</v>
      </c>
      <c r="N181" s="35" t="s">
        <v>11</v>
      </c>
      <c r="O181" s="35" t="s">
        <v>12</v>
      </c>
      <c r="P181" s="35" t="s">
        <v>13</v>
      </c>
      <c r="Q181" s="44"/>
      <c r="R181" s="80"/>
    </row>
    <row r="182" spans="1:18" s="30" customFormat="1" ht="26.25">
      <c r="A182" s="187"/>
      <c r="B182" s="81" t="s">
        <v>84</v>
      </c>
      <c r="C182" s="82"/>
      <c r="D182" s="83"/>
      <c r="E182" s="83"/>
      <c r="F182" s="50"/>
      <c r="G182" s="50"/>
      <c r="H182" s="50"/>
      <c r="I182" s="50"/>
      <c r="J182" s="50"/>
      <c r="K182" s="49"/>
      <c r="L182" s="50"/>
      <c r="M182" s="50"/>
      <c r="N182" s="50"/>
      <c r="O182" s="50"/>
      <c r="P182" s="50"/>
      <c r="Q182" s="50"/>
      <c r="R182" s="84"/>
    </row>
    <row r="183" spans="1:18" s="30" customFormat="1" ht="26.25">
      <c r="A183" s="187"/>
      <c r="B183" s="85" t="s">
        <v>126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7"/>
    </row>
    <row r="184" spans="1:18" s="30" customFormat="1" ht="26.25">
      <c r="A184" s="61"/>
      <c r="B184" s="56" t="s">
        <v>74</v>
      </c>
      <c r="C184" s="57">
        <v>90</v>
      </c>
      <c r="D184" s="57">
        <f>C184*25%</f>
        <v>22.5</v>
      </c>
      <c r="E184" s="57">
        <v>75</v>
      </c>
      <c r="F184" s="57">
        <f>E184*18.2%</f>
        <v>13.65</v>
      </c>
      <c r="G184" s="57">
        <f>E184*18.4%</f>
        <v>13.799999999999999</v>
      </c>
      <c r="H184" s="57">
        <f>E184*0.7%</f>
        <v>0.52499999999999991</v>
      </c>
      <c r="I184" s="57">
        <f>E184*241%</f>
        <v>180.75</v>
      </c>
      <c r="J184" s="57">
        <f>E184*0.07%</f>
        <v>5.2500000000000005E-2</v>
      </c>
      <c r="K184" s="57">
        <v>0</v>
      </c>
      <c r="L184" s="57">
        <f>E184*0.07%</f>
        <v>5.2500000000000005E-2</v>
      </c>
      <c r="M184" s="57">
        <f>E184*16%</f>
        <v>12</v>
      </c>
      <c r="N184" s="57">
        <f>E184*165%</f>
        <v>123.75</v>
      </c>
      <c r="O184" s="57">
        <f>E184*18%</f>
        <v>13.5</v>
      </c>
      <c r="P184" s="57">
        <f>E184*1.6%</f>
        <v>1.2</v>
      </c>
      <c r="Q184" s="57">
        <v>270</v>
      </c>
      <c r="R184" s="57">
        <f>C184/1000*270</f>
        <v>24.3</v>
      </c>
    </row>
    <row r="185" spans="1:18" s="30" customFormat="1" ht="26.25">
      <c r="A185" s="52"/>
      <c r="B185" s="56" t="s">
        <v>73</v>
      </c>
      <c r="C185" s="57">
        <v>14</v>
      </c>
      <c r="D185" s="57">
        <f>C185*0.16</f>
        <v>2.2400000000000002</v>
      </c>
      <c r="E185" s="57">
        <f>C185-D185</f>
        <v>11.76</v>
      </c>
      <c r="F185" s="57">
        <f>E185*1.4%</f>
        <v>0.16463999999999998</v>
      </c>
      <c r="G185" s="30">
        <v>0</v>
      </c>
      <c r="H185" s="57">
        <f>E185*9.1%</f>
        <v>1.07016</v>
      </c>
      <c r="I185" s="57">
        <f>E185*41%</f>
        <v>4.8215999999999992</v>
      </c>
      <c r="J185" s="57">
        <f>E185*0.05%</f>
        <v>5.8799999999999998E-3</v>
      </c>
      <c r="K185" s="57">
        <f>E185*10%</f>
        <v>1.1759999999999999</v>
      </c>
      <c r="L185" s="57">
        <v>0</v>
      </c>
      <c r="M185" s="57">
        <f>E185*31%</f>
        <v>3.6456</v>
      </c>
      <c r="N185" s="57">
        <f>E185*58%</f>
        <v>6.8207999999999993</v>
      </c>
      <c r="O185" s="57">
        <f>E185*14%</f>
        <v>1.6464000000000001</v>
      </c>
      <c r="P185" s="57">
        <f>E185*0.8%</f>
        <v>9.4079999999999997E-2</v>
      </c>
      <c r="Q185" s="57">
        <v>40</v>
      </c>
      <c r="R185" s="57">
        <f>C185/1000*40</f>
        <v>0.56000000000000005</v>
      </c>
    </row>
    <row r="186" spans="1:18" s="30" customFormat="1" ht="26.25">
      <c r="A186" s="60"/>
      <c r="B186" s="56" t="s">
        <v>72</v>
      </c>
      <c r="C186" s="57">
        <v>90</v>
      </c>
      <c r="D186" s="57">
        <f>C186*0.25</f>
        <v>22.5</v>
      </c>
      <c r="E186" s="57">
        <f>C186-D186</f>
        <v>67.5</v>
      </c>
      <c r="F186" s="57">
        <f>E186*2%</f>
        <v>1.35</v>
      </c>
      <c r="G186" s="57">
        <f>E186*0.4%</f>
        <v>0.27</v>
      </c>
      <c r="H186" s="57">
        <f>E186*16.3%</f>
        <v>11.002500000000001</v>
      </c>
      <c r="I186" s="57">
        <f>E186*80%</f>
        <v>54</v>
      </c>
      <c r="J186" s="57">
        <f>E186*0.12%</f>
        <v>8.0999999999999989E-2</v>
      </c>
      <c r="K186" s="57">
        <f>E186*20%</f>
        <v>13.5</v>
      </c>
      <c r="L186" s="57">
        <v>0</v>
      </c>
      <c r="M186" s="57">
        <f>E186*10%</f>
        <v>6.75</v>
      </c>
      <c r="N186" s="57">
        <f>E186*58%</f>
        <v>39.15</v>
      </c>
      <c r="O186" s="57">
        <f>E186*23%</f>
        <v>15.525</v>
      </c>
      <c r="P186" s="57">
        <f>E186*0.9%</f>
        <v>0.60750000000000004</v>
      </c>
      <c r="Q186" s="57">
        <v>57</v>
      </c>
      <c r="R186" s="57">
        <f>C186/1000*57</f>
        <v>5.13</v>
      </c>
    </row>
    <row r="187" spans="1:18" s="30" customFormat="1" ht="26.25">
      <c r="A187" s="60"/>
      <c r="B187" s="56" t="s">
        <v>22</v>
      </c>
      <c r="C187" s="57">
        <v>10</v>
      </c>
      <c r="D187" s="57">
        <v>0</v>
      </c>
      <c r="E187" s="57">
        <f>C187-D187</f>
        <v>10</v>
      </c>
      <c r="F187" s="57">
        <f>E187*0.5%</f>
        <v>0.05</v>
      </c>
      <c r="G187" s="57">
        <f>E187*82.5%</f>
        <v>8.25</v>
      </c>
      <c r="H187" s="57">
        <f>E187*0.8%</f>
        <v>0.08</v>
      </c>
      <c r="I187" s="57">
        <f>E187*748%</f>
        <v>74.800000000000011</v>
      </c>
      <c r="J187" s="57">
        <v>0</v>
      </c>
      <c r="K187" s="57">
        <v>0</v>
      </c>
      <c r="L187" s="57">
        <f>E187*0.59%</f>
        <v>5.8999999999999997E-2</v>
      </c>
      <c r="M187" s="57">
        <f>E187*12%</f>
        <v>1.2</v>
      </c>
      <c r="N187" s="57">
        <f>E187*19%</f>
        <v>1.9</v>
      </c>
      <c r="O187" s="57">
        <f>E187*0.4%</f>
        <v>0.04</v>
      </c>
      <c r="P187" s="57">
        <f>E187*0.2%</f>
        <v>0.02</v>
      </c>
      <c r="Q187" s="57">
        <v>480</v>
      </c>
      <c r="R187" s="58">
        <f>C187/1000*480</f>
        <v>4.8</v>
      </c>
    </row>
    <row r="188" spans="1:18" s="30" customFormat="1" ht="26.25">
      <c r="A188" s="52"/>
      <c r="B188" s="89" t="s">
        <v>69</v>
      </c>
      <c r="C188" s="59">
        <f t="shared" ref="C188:P188" si="21">SUM(C184:C187)</f>
        <v>204</v>
      </c>
      <c r="D188" s="59">
        <f t="shared" si="21"/>
        <v>47.24</v>
      </c>
      <c r="E188" s="59">
        <f t="shared" si="21"/>
        <v>164.26</v>
      </c>
      <c r="F188" s="59">
        <f t="shared" si="21"/>
        <v>15.214640000000001</v>
      </c>
      <c r="G188" s="59">
        <f t="shared" si="21"/>
        <v>22.32</v>
      </c>
      <c r="H188" s="59">
        <f t="shared" si="21"/>
        <v>12.677660000000001</v>
      </c>
      <c r="I188" s="59">
        <f t="shared" si="21"/>
        <v>314.3716</v>
      </c>
      <c r="J188" s="59">
        <f t="shared" si="21"/>
        <v>0.13938</v>
      </c>
      <c r="K188" s="59">
        <f t="shared" si="21"/>
        <v>14.676</v>
      </c>
      <c r="L188" s="59">
        <f t="shared" si="21"/>
        <v>0.1115</v>
      </c>
      <c r="M188" s="59">
        <f t="shared" si="21"/>
        <v>23.595600000000001</v>
      </c>
      <c r="N188" s="59">
        <f t="shared" si="21"/>
        <v>171.6208</v>
      </c>
      <c r="O188" s="59">
        <f t="shared" si="21"/>
        <v>30.711399999999998</v>
      </c>
      <c r="P188" s="59">
        <f t="shared" si="21"/>
        <v>1.9215800000000001</v>
      </c>
      <c r="Q188" s="59"/>
      <c r="R188" s="59">
        <f>SUM(R184:R187)</f>
        <v>34.79</v>
      </c>
    </row>
    <row r="189" spans="1:18" s="30" customFormat="1" ht="26.25">
      <c r="A189" s="61"/>
      <c r="B189" s="53" t="s">
        <v>127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</row>
    <row r="190" spans="1:18" s="30" customFormat="1" ht="26.25">
      <c r="A190" s="61"/>
      <c r="B190" s="56" t="s">
        <v>72</v>
      </c>
      <c r="C190" s="57">
        <v>25</v>
      </c>
      <c r="D190" s="57">
        <f>C190*0.25</f>
        <v>6.25</v>
      </c>
      <c r="E190" s="57">
        <f>C190-D190</f>
        <v>18.75</v>
      </c>
      <c r="F190" s="57">
        <f>E190*2%</f>
        <v>0.375</v>
      </c>
      <c r="G190" s="57">
        <f>E190*0.4%</f>
        <v>7.4999999999999997E-2</v>
      </c>
      <c r="H190" s="57">
        <f>E190*16.3%</f>
        <v>3.0562499999999999</v>
      </c>
      <c r="I190" s="57">
        <f>E190*80%</f>
        <v>15</v>
      </c>
      <c r="J190" s="57">
        <f>E190*0.12%</f>
        <v>2.2499999999999999E-2</v>
      </c>
      <c r="K190" s="57">
        <f>E190*20%</f>
        <v>3.75</v>
      </c>
      <c r="L190" s="57">
        <v>0</v>
      </c>
      <c r="M190" s="57">
        <f>E190*10%</f>
        <v>1.875</v>
      </c>
      <c r="N190" s="57">
        <f>E190*58%</f>
        <v>10.875</v>
      </c>
      <c r="O190" s="57">
        <f>E190*23%</f>
        <v>4.3125</v>
      </c>
      <c r="P190" s="57">
        <f>E190*0.9%</f>
        <v>0.16875000000000001</v>
      </c>
      <c r="Q190" s="57">
        <v>57</v>
      </c>
      <c r="R190" s="57">
        <f>C190/1000*57</f>
        <v>1.425</v>
      </c>
    </row>
    <row r="191" spans="1:18" s="30" customFormat="1" ht="26.25">
      <c r="A191" s="61"/>
      <c r="B191" s="56" t="s">
        <v>15</v>
      </c>
      <c r="C191" s="57">
        <v>25</v>
      </c>
      <c r="D191" s="57">
        <f>C191*0.2</f>
        <v>5</v>
      </c>
      <c r="E191" s="57">
        <f>C191-D191</f>
        <v>20</v>
      </c>
      <c r="F191" s="57">
        <f>E191*1.3%</f>
        <v>0.26</v>
      </c>
      <c r="G191" s="95">
        <f>E191*0.001</f>
        <v>0.02</v>
      </c>
      <c r="H191" s="57">
        <f>E191*0.072</f>
        <v>1.44</v>
      </c>
      <c r="I191" s="57">
        <f>E191*0.3</f>
        <v>6</v>
      </c>
      <c r="J191" s="57">
        <f>E191*0.06%</f>
        <v>1.1999999999999999E-2</v>
      </c>
      <c r="K191" s="57">
        <f>E191*5%</f>
        <v>1</v>
      </c>
      <c r="L191" s="57">
        <v>0</v>
      </c>
      <c r="M191" s="57">
        <f>E191*51%</f>
        <v>10.199999999999999</v>
      </c>
      <c r="N191" s="57">
        <f>E191*55%</f>
        <v>11</v>
      </c>
      <c r="O191" s="57">
        <f>E191*38%</f>
        <v>7.6</v>
      </c>
      <c r="P191" s="57">
        <f>E191*0.7%</f>
        <v>0.13999999999999999</v>
      </c>
      <c r="Q191" s="57">
        <v>60</v>
      </c>
      <c r="R191" s="56">
        <f>C191/1000*60</f>
        <v>1.5</v>
      </c>
    </row>
    <row r="192" spans="1:18" s="30" customFormat="1" ht="26.25">
      <c r="A192" s="61"/>
      <c r="B192" s="94" t="s">
        <v>71</v>
      </c>
      <c r="C192" s="57">
        <v>25</v>
      </c>
      <c r="D192" s="57">
        <f>C192*0.2</f>
        <v>5</v>
      </c>
      <c r="E192" s="57">
        <f>C192-D192</f>
        <v>20</v>
      </c>
      <c r="F192" s="57">
        <f>E192*0.015</f>
        <v>0.3</v>
      </c>
      <c r="G192" s="57">
        <f>E192*0.001</f>
        <v>0.02</v>
      </c>
      <c r="H192" s="57">
        <f>E192*0.091</f>
        <v>1.8199999999999998</v>
      </c>
      <c r="I192" s="57">
        <f>E192*0.42</f>
        <v>8.4</v>
      </c>
      <c r="J192" s="57">
        <f>E192*0.02%</f>
        <v>4.0000000000000001E-3</v>
      </c>
      <c r="K192" s="57">
        <f>E192*10%</f>
        <v>2</v>
      </c>
      <c r="L192" s="57">
        <v>0</v>
      </c>
      <c r="M192" s="57">
        <f>E192*37%</f>
        <v>7.4</v>
      </c>
      <c r="N192" s="57">
        <f>E192*43%</f>
        <v>8.6</v>
      </c>
      <c r="O192" s="57">
        <f>E192*22%</f>
        <v>4.4000000000000004</v>
      </c>
      <c r="P192" s="57">
        <f>E192*1.4%</f>
        <v>0.27999999999999997</v>
      </c>
      <c r="Q192" s="57">
        <v>60</v>
      </c>
      <c r="R192" s="57">
        <f>C192/1000*60</f>
        <v>1.5</v>
      </c>
    </row>
    <row r="193" spans="1:18" s="147" customFormat="1" ht="15.75" customHeight="1">
      <c r="A193" s="171"/>
      <c r="B193" s="94" t="s">
        <v>77</v>
      </c>
      <c r="C193" s="146">
        <v>10</v>
      </c>
      <c r="D193" s="146">
        <v>0</v>
      </c>
      <c r="E193" s="146">
        <f>C193-D193</f>
        <v>10</v>
      </c>
      <c r="F193" s="146">
        <v>0</v>
      </c>
      <c r="G193" s="152">
        <f>E193*0.999</f>
        <v>9.99</v>
      </c>
      <c r="H193" s="146">
        <v>0</v>
      </c>
      <c r="I193" s="146">
        <f>E193*8.99</f>
        <v>89.9</v>
      </c>
      <c r="J193" s="146">
        <f>E193*0.06%</f>
        <v>5.9999999999999993E-3</v>
      </c>
      <c r="K193" s="146">
        <v>0</v>
      </c>
      <c r="L193" s="146">
        <v>0</v>
      </c>
      <c r="M193" s="146">
        <v>0</v>
      </c>
      <c r="N193" s="146">
        <v>0</v>
      </c>
      <c r="O193" s="146">
        <v>0</v>
      </c>
      <c r="P193" s="146">
        <v>0</v>
      </c>
      <c r="Q193" s="146">
        <v>180</v>
      </c>
      <c r="R193" s="146">
        <f>C193/1000*180</f>
        <v>1.8</v>
      </c>
    </row>
    <row r="194" spans="1:18" s="30" customFormat="1" ht="26.25">
      <c r="A194" s="61"/>
      <c r="B194" s="94" t="s">
        <v>17</v>
      </c>
      <c r="C194" s="57">
        <v>9</v>
      </c>
      <c r="D194" s="57">
        <v>0</v>
      </c>
      <c r="E194" s="57">
        <f>C194-D194</f>
        <v>9</v>
      </c>
      <c r="F194" s="57">
        <v>0</v>
      </c>
      <c r="G194" s="95">
        <f>E194*0.999</f>
        <v>8.9909999999999997</v>
      </c>
      <c r="H194" s="57">
        <v>0</v>
      </c>
      <c r="I194" s="57">
        <f>E194*8.99</f>
        <v>80.91</v>
      </c>
      <c r="J194" s="57">
        <f>E194*0.06%</f>
        <v>5.3999999999999994E-3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57">
        <v>0</v>
      </c>
      <c r="Q194" s="57">
        <v>150</v>
      </c>
      <c r="R194" s="57">
        <f>C194/1000*150</f>
        <v>1.3499999999999999</v>
      </c>
    </row>
    <row r="195" spans="1:18" s="30" customFormat="1" ht="26.25">
      <c r="A195" s="61"/>
      <c r="B195" s="89" t="s">
        <v>69</v>
      </c>
      <c r="C195" s="59">
        <f t="shared" ref="C195:P195" si="22">SUM(C190:C194)</f>
        <v>94</v>
      </c>
      <c r="D195" s="59">
        <f t="shared" si="22"/>
        <v>16.25</v>
      </c>
      <c r="E195" s="59">
        <f t="shared" si="22"/>
        <v>77.75</v>
      </c>
      <c r="F195" s="59">
        <f t="shared" si="22"/>
        <v>0.93500000000000005</v>
      </c>
      <c r="G195" s="59">
        <f t="shared" si="22"/>
        <v>19.096</v>
      </c>
      <c r="H195" s="59">
        <f t="shared" si="22"/>
        <v>6.3162500000000001</v>
      </c>
      <c r="I195" s="59">
        <f t="shared" si="22"/>
        <v>200.21</v>
      </c>
      <c r="J195" s="59">
        <f t="shared" si="22"/>
        <v>4.9899999999999993E-2</v>
      </c>
      <c r="K195" s="59">
        <f t="shared" si="22"/>
        <v>6.75</v>
      </c>
      <c r="L195" s="59">
        <f t="shared" si="22"/>
        <v>0</v>
      </c>
      <c r="M195" s="59">
        <f t="shared" si="22"/>
        <v>19.475000000000001</v>
      </c>
      <c r="N195" s="59">
        <f t="shared" si="22"/>
        <v>30.475000000000001</v>
      </c>
      <c r="O195" s="59">
        <f t="shared" si="22"/>
        <v>16.3125</v>
      </c>
      <c r="P195" s="59">
        <f t="shared" si="22"/>
        <v>0.58874999999999988</v>
      </c>
      <c r="Q195" s="59"/>
      <c r="R195" s="59">
        <f>SUM(R190:R194)</f>
        <v>7.5749999999999993</v>
      </c>
    </row>
    <row r="196" spans="1:18" s="30" customFormat="1" ht="26.25">
      <c r="A196" s="61"/>
      <c r="B196" s="62" t="s">
        <v>104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4"/>
    </row>
    <row r="197" spans="1:18" s="30" customFormat="1" ht="26.25">
      <c r="A197" s="61"/>
      <c r="B197" s="59" t="s">
        <v>69</v>
      </c>
      <c r="C197" s="59">
        <v>30</v>
      </c>
      <c r="D197" s="59">
        <v>0</v>
      </c>
      <c r="E197" s="59">
        <v>30</v>
      </c>
      <c r="F197" s="59">
        <f>E197*7.9%</f>
        <v>2.37</v>
      </c>
      <c r="G197" s="59">
        <f>E197*1%</f>
        <v>0.3</v>
      </c>
      <c r="H197" s="59">
        <f>E197*48.1%</f>
        <v>14.430000000000001</v>
      </c>
      <c r="I197" s="59">
        <f>E197*239%</f>
        <v>71.7</v>
      </c>
      <c r="J197" s="59">
        <f>E197*0.16%</f>
        <v>4.8000000000000001E-2</v>
      </c>
      <c r="K197" s="59">
        <v>0</v>
      </c>
      <c r="L197" s="59">
        <v>0</v>
      </c>
      <c r="M197" s="59">
        <f>E197*23%</f>
        <v>6.9</v>
      </c>
      <c r="N197" s="59">
        <f>E197*87%</f>
        <v>26.1</v>
      </c>
      <c r="O197" s="59">
        <f>E197*33%</f>
        <v>9.9</v>
      </c>
      <c r="P197" s="59">
        <f>E197*2%</f>
        <v>0.6</v>
      </c>
      <c r="Q197" s="59">
        <v>50</v>
      </c>
      <c r="R197" s="59">
        <f>C197/1000*50</f>
        <v>1.5</v>
      </c>
    </row>
    <row r="198" spans="1:18" s="30" customFormat="1" ht="26.25">
      <c r="A198" s="61"/>
      <c r="B198" s="62" t="s">
        <v>105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4"/>
    </row>
    <row r="199" spans="1:18" s="30" customFormat="1" ht="26.25">
      <c r="A199" s="61"/>
      <c r="B199" s="57" t="s">
        <v>52</v>
      </c>
      <c r="C199" s="57">
        <v>1</v>
      </c>
      <c r="D199" s="57">
        <v>0</v>
      </c>
      <c r="E199" s="57">
        <f>C199-D199</f>
        <v>1</v>
      </c>
      <c r="F199" s="57">
        <f>E199*21.74%</f>
        <v>0.21739999999999998</v>
      </c>
      <c r="G199" s="57">
        <f>E199*7.61%</f>
        <v>7.6100000000000001E-2</v>
      </c>
      <c r="H199" s="57">
        <f>E199*2.86%</f>
        <v>2.86E-2</v>
      </c>
      <c r="I199" s="57">
        <f>E199*9.18%</f>
        <v>9.1799999999999993E-2</v>
      </c>
      <c r="J199" s="57">
        <f>E199*4.7%</f>
        <v>4.7E-2</v>
      </c>
      <c r="K199" s="57">
        <f>E199*11%</f>
        <v>0.11</v>
      </c>
      <c r="L199" s="57">
        <f>E199*5.6%</f>
        <v>5.5999999999999994E-2</v>
      </c>
      <c r="M199" s="57">
        <f>E199*50%</f>
        <v>0.5</v>
      </c>
      <c r="N199" s="57">
        <f>E199*10%</f>
        <v>0.1</v>
      </c>
      <c r="O199" s="57">
        <f>E199*110%</f>
        <v>1.1000000000000001</v>
      </c>
      <c r="P199" s="57">
        <f>E199*456%</f>
        <v>4.5599999999999996</v>
      </c>
      <c r="Q199" s="57">
        <v>950</v>
      </c>
      <c r="R199" s="57">
        <f>C199/1000*950</f>
        <v>0.95000000000000007</v>
      </c>
    </row>
    <row r="200" spans="1:18" s="30" customFormat="1" ht="26.25">
      <c r="A200" s="61"/>
      <c r="B200" s="57" t="s">
        <v>68</v>
      </c>
      <c r="C200" s="57">
        <v>15</v>
      </c>
      <c r="D200" s="57">
        <v>0</v>
      </c>
      <c r="E200" s="57">
        <v>15</v>
      </c>
      <c r="F200" s="57">
        <v>0</v>
      </c>
      <c r="G200" s="57">
        <v>0</v>
      </c>
      <c r="H200" s="57">
        <f>E200*99.8%</f>
        <v>14.97</v>
      </c>
      <c r="I200" s="57">
        <f>E200*379%</f>
        <v>56.85</v>
      </c>
      <c r="J200" s="57">
        <v>0</v>
      </c>
      <c r="K200" s="57">
        <v>0</v>
      </c>
      <c r="L200" s="57">
        <v>0</v>
      </c>
      <c r="M200" s="57">
        <f>E200*2%</f>
        <v>0.3</v>
      </c>
      <c r="N200" s="57">
        <v>0</v>
      </c>
      <c r="O200" s="57">
        <v>0</v>
      </c>
      <c r="P200" s="57">
        <f>E200*0.3%</f>
        <v>4.4999999999999998E-2</v>
      </c>
      <c r="Q200" s="57">
        <v>60</v>
      </c>
      <c r="R200" s="57">
        <f>C200/1000*60</f>
        <v>0.89999999999999991</v>
      </c>
    </row>
    <row r="201" spans="1:18" s="30" customFormat="1" ht="26.25">
      <c r="A201" s="61"/>
      <c r="B201" s="59" t="s">
        <v>69</v>
      </c>
      <c r="C201" s="59">
        <v>16</v>
      </c>
      <c r="D201" s="59">
        <f>SUM(D200:D200)</f>
        <v>0</v>
      </c>
      <c r="E201" s="59">
        <v>150</v>
      </c>
      <c r="F201" s="59">
        <f t="shared" ref="F201:P201" si="23">SUM(F200:F200)</f>
        <v>0</v>
      </c>
      <c r="G201" s="59">
        <f t="shared" si="23"/>
        <v>0</v>
      </c>
      <c r="H201" s="59">
        <f t="shared" si="23"/>
        <v>14.97</v>
      </c>
      <c r="I201" s="59">
        <f t="shared" si="23"/>
        <v>56.85</v>
      </c>
      <c r="J201" s="59">
        <f t="shared" si="23"/>
        <v>0</v>
      </c>
      <c r="K201" s="59">
        <f t="shared" si="23"/>
        <v>0</v>
      </c>
      <c r="L201" s="59">
        <f t="shared" si="23"/>
        <v>0</v>
      </c>
      <c r="M201" s="59">
        <f t="shared" si="23"/>
        <v>0.3</v>
      </c>
      <c r="N201" s="59">
        <f t="shared" si="23"/>
        <v>0</v>
      </c>
      <c r="O201" s="59">
        <f t="shared" si="23"/>
        <v>0</v>
      </c>
      <c r="P201" s="59">
        <f t="shared" si="23"/>
        <v>4.4999999999999998E-2</v>
      </c>
      <c r="Q201" s="59"/>
      <c r="R201" s="59">
        <f>SUM(R199:R200)</f>
        <v>1.85</v>
      </c>
    </row>
    <row r="202" spans="1:18" s="30" customFormat="1" ht="26.25">
      <c r="A202" s="61"/>
      <c r="B202" s="66" t="s">
        <v>111</v>
      </c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8"/>
    </row>
    <row r="203" spans="1:18" s="30" customFormat="1" ht="26.25">
      <c r="A203" s="61"/>
      <c r="B203" s="59" t="s">
        <v>69</v>
      </c>
      <c r="C203" s="59">
        <v>40</v>
      </c>
      <c r="D203" s="59">
        <v>0</v>
      </c>
      <c r="E203" s="59">
        <f>C203-D203</f>
        <v>40</v>
      </c>
      <c r="F203" s="57">
        <f>E203*7.5%</f>
        <v>3</v>
      </c>
      <c r="G203" s="57">
        <f>E203*11.8%</f>
        <v>4.7200000000000006</v>
      </c>
      <c r="H203" s="57">
        <f>E203*74.4%</f>
        <v>29.760000000000005</v>
      </c>
      <c r="I203" s="57">
        <f>E203*436%</f>
        <v>174.4</v>
      </c>
      <c r="J203" s="57">
        <f>E203*0.08%</f>
        <v>3.2000000000000001E-2</v>
      </c>
      <c r="K203" s="57">
        <f>E203*0%</f>
        <v>0</v>
      </c>
      <c r="L203" s="57">
        <f>E203*0%</f>
        <v>0</v>
      </c>
      <c r="M203" s="57">
        <f>E203*29%</f>
        <v>11.6</v>
      </c>
      <c r="N203" s="57">
        <f>E203*90%</f>
        <v>36</v>
      </c>
      <c r="O203" s="57">
        <f>E203*20%</f>
        <v>8</v>
      </c>
      <c r="P203" s="57">
        <f>E203*2.1%</f>
        <v>0.84000000000000008</v>
      </c>
      <c r="Q203" s="57">
        <v>160</v>
      </c>
      <c r="R203" s="59">
        <f>C203/1000*160</f>
        <v>6.4</v>
      </c>
    </row>
    <row r="204" spans="1:18" s="30" customFormat="1" ht="26.25">
      <c r="A204" s="60"/>
      <c r="B204" s="62" t="s">
        <v>137</v>
      </c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4"/>
    </row>
    <row r="205" spans="1:18" s="30" customFormat="1" ht="26.25">
      <c r="A205" s="60"/>
      <c r="B205" s="59" t="s">
        <v>69</v>
      </c>
      <c r="C205" s="59">
        <v>140</v>
      </c>
      <c r="D205" s="59">
        <v>0</v>
      </c>
      <c r="E205" s="59">
        <f>C205-D205</f>
        <v>140</v>
      </c>
      <c r="F205" s="59">
        <f>E205*0.08%</f>
        <v>0.112</v>
      </c>
      <c r="G205" s="59">
        <v>0</v>
      </c>
      <c r="H205" s="59">
        <f>E205*9.6%</f>
        <v>13.44</v>
      </c>
      <c r="I205" s="59">
        <f>E205*43%</f>
        <v>60.199999999999996</v>
      </c>
      <c r="J205" s="59">
        <f>E205*0.06%</f>
        <v>8.3999999999999991E-2</v>
      </c>
      <c r="K205" s="59">
        <f>E205*10%</f>
        <v>14</v>
      </c>
      <c r="L205" s="59">
        <v>0</v>
      </c>
      <c r="M205" s="59">
        <f>E205*20%</f>
        <v>28</v>
      </c>
      <c r="N205" s="59">
        <f>E205*20%</f>
        <v>28</v>
      </c>
      <c r="O205" s="59">
        <f>E205*9%</f>
        <v>12.6</v>
      </c>
      <c r="P205" s="59">
        <f>E205*0.5%</f>
        <v>0.70000000000000007</v>
      </c>
      <c r="Q205" s="59">
        <v>63</v>
      </c>
      <c r="R205" s="59">
        <f>C205/1000*63</f>
        <v>8.82</v>
      </c>
    </row>
    <row r="206" spans="1:18" s="30" customFormat="1" ht="26.25">
      <c r="A206" s="61"/>
      <c r="B206" s="66" t="s">
        <v>102</v>
      </c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8"/>
    </row>
    <row r="207" spans="1:18" s="30" customFormat="1" ht="26.25">
      <c r="A207" s="61"/>
      <c r="B207" s="59" t="s">
        <v>69</v>
      </c>
      <c r="C207" s="69">
        <v>3</v>
      </c>
      <c r="D207" s="59">
        <v>0</v>
      </c>
      <c r="E207" s="69">
        <f>C207-D207</f>
        <v>3</v>
      </c>
      <c r="F207" s="59">
        <v>0</v>
      </c>
      <c r="G207" s="59">
        <v>0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0</v>
      </c>
      <c r="Q207" s="59">
        <v>20</v>
      </c>
      <c r="R207" s="69">
        <f>C207/1000*20</f>
        <v>0.06</v>
      </c>
    </row>
    <row r="208" spans="1:18" s="30" customFormat="1" ht="26.25">
      <c r="A208" s="61"/>
      <c r="B208" s="59"/>
      <c r="C208" s="69"/>
      <c r="D208" s="59"/>
      <c r="E208" s="6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69"/>
    </row>
    <row r="209" spans="1:18" s="30" customFormat="1" ht="26.25">
      <c r="A209" s="90"/>
      <c r="B209" s="59" t="s">
        <v>69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>
        <f>R207+R205+R203+R201+R197+R195+R188</f>
        <v>60.995000000000005</v>
      </c>
    </row>
    <row r="210" spans="1:18" s="190" customFormat="1" ht="23.25" customHeight="1">
      <c r="A210" s="188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</row>
    <row r="211" spans="1:18" s="190" customFormat="1" ht="23.25" customHeight="1">
      <c r="A211" s="188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</row>
    <row r="212" spans="1:18" s="190" customFormat="1" ht="23.25" customHeight="1">
      <c r="A212" s="188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</row>
    <row r="213" spans="1:18" s="30" customFormat="1" ht="26.25">
      <c r="A213" s="31"/>
      <c r="B213" s="73" t="s">
        <v>0</v>
      </c>
      <c r="C213" s="33" t="s">
        <v>96</v>
      </c>
      <c r="D213" s="34" t="s">
        <v>20</v>
      </c>
      <c r="E213" s="34" t="s">
        <v>19</v>
      </c>
      <c r="F213" s="35" t="s">
        <v>1</v>
      </c>
      <c r="G213" s="35" t="s">
        <v>2</v>
      </c>
      <c r="H213" s="35" t="s">
        <v>3</v>
      </c>
      <c r="I213" s="35" t="s">
        <v>4</v>
      </c>
      <c r="J213" s="76" t="s">
        <v>5</v>
      </c>
      <c r="K213" s="76"/>
      <c r="L213" s="76"/>
      <c r="M213" s="76" t="s">
        <v>6</v>
      </c>
      <c r="N213" s="76"/>
      <c r="O213" s="76"/>
      <c r="P213" s="76"/>
      <c r="Q213" s="35" t="s">
        <v>66</v>
      </c>
      <c r="R213" s="39" t="s">
        <v>115</v>
      </c>
    </row>
    <row r="214" spans="1:18" s="30" customFormat="1" ht="26.25">
      <c r="A214" s="40"/>
      <c r="B214" s="73"/>
      <c r="C214" s="42"/>
      <c r="D214" s="43"/>
      <c r="E214" s="43"/>
      <c r="F214" s="44"/>
      <c r="G214" s="44"/>
      <c r="H214" s="44"/>
      <c r="I214" s="44"/>
      <c r="J214" s="35" t="s">
        <v>7</v>
      </c>
      <c r="K214" s="34" t="s">
        <v>8</v>
      </c>
      <c r="L214" s="35" t="s">
        <v>9</v>
      </c>
      <c r="M214" s="35" t="s">
        <v>10</v>
      </c>
      <c r="N214" s="35" t="s">
        <v>11</v>
      </c>
      <c r="O214" s="35" t="s">
        <v>12</v>
      </c>
      <c r="P214" s="35" t="s">
        <v>13</v>
      </c>
      <c r="Q214" s="44"/>
      <c r="R214" s="45"/>
    </row>
    <row r="215" spans="1:18" s="30" customFormat="1" ht="26.25">
      <c r="A215" s="46"/>
      <c r="B215" s="47" t="s">
        <v>85</v>
      </c>
      <c r="C215" s="48"/>
      <c r="D215" s="49"/>
      <c r="E215" s="49"/>
      <c r="F215" s="50"/>
      <c r="G215" s="50"/>
      <c r="H215" s="50"/>
      <c r="I215" s="50"/>
      <c r="J215" s="50"/>
      <c r="K215" s="49"/>
      <c r="L215" s="50"/>
      <c r="M215" s="50"/>
      <c r="N215" s="50"/>
      <c r="O215" s="50"/>
      <c r="P215" s="50"/>
      <c r="Q215" s="50"/>
      <c r="R215" s="51"/>
    </row>
    <row r="216" spans="1:18" s="30" customFormat="1" ht="26.25">
      <c r="A216" s="60"/>
      <c r="B216" s="85" t="s">
        <v>121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7"/>
    </row>
    <row r="217" spans="1:18" s="30" customFormat="1" ht="22.5" customHeight="1">
      <c r="A217" s="52"/>
      <c r="B217" s="56" t="s">
        <v>122</v>
      </c>
      <c r="C217" s="57">
        <v>70</v>
      </c>
      <c r="D217" s="57">
        <f>C217*26.4%</f>
        <v>18.48</v>
      </c>
      <c r="E217" s="57">
        <f>SUM(C217-D217)</f>
        <v>51.519999999999996</v>
      </c>
      <c r="F217" s="57">
        <f>E217*18.6%</f>
        <v>9.5827200000000001</v>
      </c>
      <c r="G217" s="57">
        <f>E217*16%</f>
        <v>8.2431999999999999</v>
      </c>
      <c r="H217" s="57">
        <v>0</v>
      </c>
      <c r="I217" s="57">
        <f>E217*218%</f>
        <v>112.31359999999999</v>
      </c>
      <c r="J217" s="57">
        <f>E217*0.06%</f>
        <v>3.0911999999999995E-2</v>
      </c>
      <c r="K217" s="57">
        <v>0</v>
      </c>
      <c r="L217" s="57">
        <v>0</v>
      </c>
      <c r="M217" s="57">
        <f>E217*9%</f>
        <v>4.6367999999999991</v>
      </c>
      <c r="N217" s="57">
        <f>E217*188%</f>
        <v>96.857599999999991</v>
      </c>
      <c r="O217" s="57">
        <f>E217*22%</f>
        <v>11.334399999999999</v>
      </c>
      <c r="P217" s="57">
        <f>E217*2.7%</f>
        <v>1.3910400000000001</v>
      </c>
      <c r="Q217" s="57">
        <v>475</v>
      </c>
      <c r="R217" s="57">
        <f>C217/1000*475</f>
        <v>33.25</v>
      </c>
    </row>
    <row r="218" spans="1:18" s="30" customFormat="1" ht="26.25">
      <c r="A218" s="60"/>
      <c r="B218" s="56" t="s">
        <v>72</v>
      </c>
      <c r="C218" s="57">
        <v>50</v>
      </c>
      <c r="D218" s="57">
        <f>C218*0.25</f>
        <v>12.5</v>
      </c>
      <c r="E218" s="57">
        <f>C218-D218</f>
        <v>37.5</v>
      </c>
      <c r="F218" s="57">
        <f>E218*2%</f>
        <v>0.75</v>
      </c>
      <c r="G218" s="57">
        <f>E218*0.4%</f>
        <v>0.15</v>
      </c>
      <c r="H218" s="57">
        <f>E218*16.3%</f>
        <v>6.1124999999999998</v>
      </c>
      <c r="I218" s="57">
        <f>E218*80%</f>
        <v>30</v>
      </c>
      <c r="J218" s="57">
        <f>E218*0.12%</f>
        <v>4.4999999999999998E-2</v>
      </c>
      <c r="K218" s="57">
        <f>E218*20%</f>
        <v>7.5</v>
      </c>
      <c r="L218" s="57">
        <v>0</v>
      </c>
      <c r="M218" s="57">
        <f>E218*10%</f>
        <v>3.75</v>
      </c>
      <c r="N218" s="57">
        <f>E218*58%</f>
        <v>21.75</v>
      </c>
      <c r="O218" s="57">
        <f>E218*23%</f>
        <v>8.625</v>
      </c>
      <c r="P218" s="57">
        <f>E218*0.9%</f>
        <v>0.33750000000000002</v>
      </c>
      <c r="Q218" s="57">
        <v>57</v>
      </c>
      <c r="R218" s="57">
        <f>C218/1000*57</f>
        <v>2.85</v>
      </c>
    </row>
    <row r="219" spans="1:18" s="30" customFormat="1" ht="26.25">
      <c r="A219" s="52"/>
      <c r="B219" s="56" t="s">
        <v>15</v>
      </c>
      <c r="C219" s="57">
        <v>10</v>
      </c>
      <c r="D219" s="57">
        <v>5</v>
      </c>
      <c r="E219" s="57">
        <f>C219-D219</f>
        <v>5</v>
      </c>
      <c r="F219" s="57">
        <f>E219*1.3%</f>
        <v>6.5000000000000002E-2</v>
      </c>
      <c r="G219" s="57">
        <f>E219*0.1%</f>
        <v>5.0000000000000001E-3</v>
      </c>
      <c r="H219" s="57">
        <f>E219*7.2%</f>
        <v>0.36000000000000004</v>
      </c>
      <c r="I219" s="57">
        <f>E219*30%</f>
        <v>1.5</v>
      </c>
      <c r="J219" s="57">
        <f>E219*0.06%</f>
        <v>2.9999999999999996E-3</v>
      </c>
      <c r="K219" s="57">
        <f>E219*5%</f>
        <v>0.25</v>
      </c>
      <c r="L219" s="57">
        <v>0</v>
      </c>
      <c r="M219" s="57">
        <f>E219*51%</f>
        <v>2.5499999999999998</v>
      </c>
      <c r="N219" s="57">
        <f>E219*55%</f>
        <v>2.75</v>
      </c>
      <c r="O219" s="57">
        <f>E219*38%</f>
        <v>1.9</v>
      </c>
      <c r="P219" s="57">
        <f>E219*0.7%</f>
        <v>3.4999999999999996E-2</v>
      </c>
      <c r="Q219" s="57">
        <v>60</v>
      </c>
      <c r="R219" s="57">
        <f>C219/1000*60</f>
        <v>0.6</v>
      </c>
    </row>
    <row r="220" spans="1:18" s="30" customFormat="1" ht="26.25">
      <c r="A220" s="61"/>
      <c r="B220" s="56" t="s">
        <v>93</v>
      </c>
      <c r="C220" s="57">
        <v>15</v>
      </c>
      <c r="D220" s="57">
        <v>0</v>
      </c>
      <c r="E220" s="57">
        <f>C220-D220</f>
        <v>15</v>
      </c>
      <c r="F220" s="57">
        <f>E220*2%</f>
        <v>0.3</v>
      </c>
      <c r="G220" s="57">
        <f>E220*0.4%</f>
        <v>0.06</v>
      </c>
      <c r="H220" s="57">
        <f>E220*16.3%</f>
        <v>2.4450000000000003</v>
      </c>
      <c r="I220" s="57">
        <f>E220*80%</f>
        <v>12</v>
      </c>
      <c r="J220" s="57">
        <f>E220*0.12%</f>
        <v>1.7999999999999999E-2</v>
      </c>
      <c r="K220" s="57">
        <f>E220*20%</f>
        <v>3</v>
      </c>
      <c r="L220" s="57">
        <v>0</v>
      </c>
      <c r="M220" s="57">
        <f>E220*10%</f>
        <v>1.5</v>
      </c>
      <c r="N220" s="57">
        <f>E220*58%</f>
        <v>8.6999999999999993</v>
      </c>
      <c r="O220" s="57">
        <f>E220*23%</f>
        <v>3.45</v>
      </c>
      <c r="P220" s="57">
        <f>E220*0.9%</f>
        <v>0.13500000000000001</v>
      </c>
      <c r="Q220" s="57">
        <v>75</v>
      </c>
      <c r="R220" s="57">
        <f>C220/1000*75</f>
        <v>1.125</v>
      </c>
    </row>
    <row r="221" spans="1:18" s="30" customFormat="1" ht="26.25">
      <c r="A221" s="52"/>
      <c r="B221" s="56" t="s">
        <v>73</v>
      </c>
      <c r="C221" s="57">
        <v>12</v>
      </c>
      <c r="D221" s="57">
        <f>C221*0.16</f>
        <v>1.92</v>
      </c>
      <c r="E221" s="57">
        <f>C221-D221</f>
        <v>10.08</v>
      </c>
      <c r="F221" s="57">
        <f>E221*1.4%</f>
        <v>0.14112</v>
      </c>
      <c r="G221" s="30">
        <v>0</v>
      </c>
      <c r="H221" s="57">
        <f>E221*9.1%</f>
        <v>0.91727999999999998</v>
      </c>
      <c r="I221" s="57">
        <f>E221*41%</f>
        <v>4.1327999999999996</v>
      </c>
      <c r="J221" s="57">
        <f>E221*0.05%</f>
        <v>5.0400000000000002E-3</v>
      </c>
      <c r="K221" s="57">
        <f>E221*10%</f>
        <v>1.008</v>
      </c>
      <c r="L221" s="57">
        <v>0</v>
      </c>
      <c r="M221" s="57">
        <f>E221*31%</f>
        <v>3.1248</v>
      </c>
      <c r="N221" s="57">
        <f>E221*58%</f>
        <v>5.8464</v>
      </c>
      <c r="O221" s="57">
        <f>E221*14%</f>
        <v>1.4112000000000002</v>
      </c>
      <c r="P221" s="57">
        <f>E221*0.8%</f>
        <v>8.0640000000000003E-2</v>
      </c>
      <c r="Q221" s="57">
        <v>40</v>
      </c>
      <c r="R221" s="57">
        <f>C221/1000*40</f>
        <v>0.48</v>
      </c>
    </row>
    <row r="222" spans="1:18" s="30" customFormat="1" ht="26.25">
      <c r="A222" s="176"/>
      <c r="B222" s="151" t="s">
        <v>26</v>
      </c>
      <c r="C222" s="151">
        <v>3</v>
      </c>
      <c r="D222" s="151">
        <v>0</v>
      </c>
      <c r="E222" s="151">
        <f>SUM(C222:D222)</f>
        <v>3</v>
      </c>
      <c r="F222" s="151">
        <f>E222*1%</f>
        <v>0.03</v>
      </c>
      <c r="G222" s="151">
        <v>0</v>
      </c>
      <c r="H222" s="151">
        <f>E222*3.5%</f>
        <v>0.10500000000000001</v>
      </c>
      <c r="I222" s="151">
        <f>E222*19%</f>
        <v>0.57000000000000006</v>
      </c>
      <c r="J222" s="151">
        <f>E222*0.03%</f>
        <v>8.9999999999999998E-4</v>
      </c>
      <c r="K222" s="151">
        <f>E222*10%</f>
        <v>0.30000000000000004</v>
      </c>
      <c r="L222" s="151">
        <v>0</v>
      </c>
      <c r="M222" s="151">
        <f>C222*7%</f>
        <v>0.21000000000000002</v>
      </c>
      <c r="N222" s="151">
        <f>E222*32%</f>
        <v>0.96</v>
      </c>
      <c r="O222" s="151">
        <f>E222*12%</f>
        <v>0.36</v>
      </c>
      <c r="P222" s="151">
        <f>E222*0.7%</f>
        <v>2.0999999999999998E-2</v>
      </c>
      <c r="Q222" s="151">
        <v>150</v>
      </c>
      <c r="R222" s="151">
        <f>C222/1000*150</f>
        <v>0.45</v>
      </c>
    </row>
    <row r="223" spans="1:18" s="30" customFormat="1" ht="26.25">
      <c r="A223" s="52"/>
      <c r="B223" s="56" t="s">
        <v>25</v>
      </c>
      <c r="C223" s="57">
        <v>5</v>
      </c>
      <c r="D223" s="57">
        <v>0</v>
      </c>
      <c r="E223" s="57">
        <f>SUM(C223:D223)</f>
        <v>5</v>
      </c>
      <c r="F223" s="57">
        <v>0</v>
      </c>
      <c r="G223" s="95">
        <f>E223*0.999</f>
        <v>4.9950000000000001</v>
      </c>
      <c r="H223" s="57">
        <v>0</v>
      </c>
      <c r="I223" s="57">
        <f>E223*8.99%</f>
        <v>0.44950000000000001</v>
      </c>
      <c r="J223" s="57">
        <f>E223*0.06%</f>
        <v>2.9999999999999996E-3</v>
      </c>
      <c r="K223" s="57">
        <v>0</v>
      </c>
      <c r="L223" s="57">
        <v>0</v>
      </c>
      <c r="M223" s="57">
        <v>0</v>
      </c>
      <c r="N223" s="57">
        <v>0</v>
      </c>
      <c r="O223" s="57">
        <v>0</v>
      </c>
      <c r="P223" s="57">
        <v>0</v>
      </c>
      <c r="Q223" s="57">
        <v>150</v>
      </c>
      <c r="R223" s="57">
        <f>C223/1000*150</f>
        <v>0.75</v>
      </c>
    </row>
    <row r="224" spans="1:18" s="30" customFormat="1" ht="26.25">
      <c r="A224" s="61"/>
      <c r="B224" s="59" t="s">
        <v>69</v>
      </c>
      <c r="C224" s="59">
        <f t="shared" ref="C224:D224" si="24">SUM(C217:C223)</f>
        <v>165</v>
      </c>
      <c r="D224" s="59">
        <f t="shared" si="24"/>
        <v>37.900000000000006</v>
      </c>
      <c r="E224" s="59">
        <v>250</v>
      </c>
      <c r="F224" s="59">
        <f t="shared" ref="F224:P224" si="25">SUM(F217:F223)</f>
        <v>10.868840000000001</v>
      </c>
      <c r="G224" s="59">
        <f t="shared" si="25"/>
        <v>13.453200000000002</v>
      </c>
      <c r="H224" s="59">
        <f t="shared" si="25"/>
        <v>9.9397800000000007</v>
      </c>
      <c r="I224" s="59">
        <f t="shared" si="25"/>
        <v>160.9659</v>
      </c>
      <c r="J224" s="59">
        <f t="shared" si="25"/>
        <v>0.105852</v>
      </c>
      <c r="K224" s="59">
        <f t="shared" si="25"/>
        <v>12.058</v>
      </c>
      <c r="L224" s="59">
        <f t="shared" si="25"/>
        <v>0</v>
      </c>
      <c r="M224" s="59">
        <f t="shared" si="25"/>
        <v>15.771599999999999</v>
      </c>
      <c r="N224" s="59">
        <f t="shared" si="25"/>
        <v>136.86399999999998</v>
      </c>
      <c r="O224" s="59">
        <f t="shared" si="25"/>
        <v>27.080599999999997</v>
      </c>
      <c r="P224" s="59">
        <f t="shared" si="25"/>
        <v>2.0001800000000003</v>
      </c>
      <c r="Q224" s="59"/>
      <c r="R224" s="59">
        <f>SUM(R217:R223)</f>
        <v>39.505000000000003</v>
      </c>
    </row>
    <row r="225" spans="1:18" s="65" customFormat="1" ht="26.25">
      <c r="A225" s="61"/>
      <c r="B225" s="66" t="s">
        <v>133</v>
      </c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8"/>
    </row>
    <row r="226" spans="1:18" s="30" customFormat="1" ht="26.25">
      <c r="A226" s="60"/>
      <c r="B226" s="94" t="s">
        <v>15</v>
      </c>
      <c r="C226" s="57">
        <v>10</v>
      </c>
      <c r="D226" s="57">
        <f>C226*0.2</f>
        <v>2</v>
      </c>
      <c r="E226" s="57">
        <f>C226-D226</f>
        <v>8</v>
      </c>
      <c r="F226" s="57">
        <f>E226*1.3%</f>
        <v>0.10400000000000001</v>
      </c>
      <c r="G226" s="95">
        <f>E226*0.001</f>
        <v>8.0000000000000002E-3</v>
      </c>
      <c r="H226" s="57">
        <f>E226*0.072</f>
        <v>0.57599999999999996</v>
      </c>
      <c r="I226" s="57">
        <f>E226*0.3</f>
        <v>2.4</v>
      </c>
      <c r="J226" s="57">
        <f>E226*0.06%</f>
        <v>4.7999999999999996E-3</v>
      </c>
      <c r="K226" s="57">
        <f>E226*5%</f>
        <v>0.4</v>
      </c>
      <c r="L226" s="57">
        <v>0</v>
      </c>
      <c r="M226" s="57">
        <f>E226*51%</f>
        <v>4.08</v>
      </c>
      <c r="N226" s="57">
        <f>E226*55%</f>
        <v>4.4000000000000004</v>
      </c>
      <c r="O226" s="57">
        <f>E226*38%</f>
        <v>3.04</v>
      </c>
      <c r="P226" s="57">
        <f>E226*0.7%</f>
        <v>5.5999999999999994E-2</v>
      </c>
      <c r="Q226" s="57">
        <v>60</v>
      </c>
      <c r="R226" s="56">
        <f>C226/1000*60</f>
        <v>0.6</v>
      </c>
    </row>
    <row r="227" spans="1:18" s="147" customFormat="1" ht="15.75" customHeight="1">
      <c r="A227" s="171"/>
      <c r="B227" s="94" t="s">
        <v>77</v>
      </c>
      <c r="C227" s="146">
        <v>6</v>
      </c>
      <c r="D227" s="146">
        <v>0</v>
      </c>
      <c r="E227" s="146">
        <f>C227-D227</f>
        <v>6</v>
      </c>
      <c r="F227" s="146">
        <v>0</v>
      </c>
      <c r="G227" s="152">
        <f>E227*0.999</f>
        <v>5.9939999999999998</v>
      </c>
      <c r="H227" s="146">
        <v>0</v>
      </c>
      <c r="I227" s="146">
        <f>E227*8.99</f>
        <v>53.94</v>
      </c>
      <c r="J227" s="146">
        <f>E227*0.06%</f>
        <v>3.5999999999999999E-3</v>
      </c>
      <c r="K227" s="146">
        <v>0</v>
      </c>
      <c r="L227" s="146">
        <v>0</v>
      </c>
      <c r="M227" s="146">
        <v>0</v>
      </c>
      <c r="N227" s="146">
        <v>0</v>
      </c>
      <c r="O227" s="146">
        <v>0</v>
      </c>
      <c r="P227" s="146">
        <v>0</v>
      </c>
      <c r="Q227" s="146">
        <v>180</v>
      </c>
      <c r="R227" s="146">
        <f>C227/1000*180</f>
        <v>1.08</v>
      </c>
    </row>
    <row r="228" spans="1:18" s="30" customFormat="1" ht="26.25">
      <c r="A228" s="60"/>
      <c r="B228" s="94" t="s">
        <v>16</v>
      </c>
      <c r="C228" s="57">
        <v>25</v>
      </c>
      <c r="D228" s="57">
        <f>C228*0.2</f>
        <v>5</v>
      </c>
      <c r="E228" s="57">
        <f>C228-D228</f>
        <v>20</v>
      </c>
      <c r="F228" s="57">
        <f>E228*0.018</f>
        <v>0.36</v>
      </c>
      <c r="G228" s="95">
        <f>E228*0.001</f>
        <v>0.02</v>
      </c>
      <c r="H228" s="57">
        <f>E228*0.047</f>
        <v>0.94</v>
      </c>
      <c r="I228" s="57">
        <f>E228*0.27</f>
        <v>5.4</v>
      </c>
      <c r="J228" s="57">
        <f>E228*0.03%</f>
        <v>5.9999999999999993E-3</v>
      </c>
      <c r="K228" s="57">
        <f>E228*45%</f>
        <v>9</v>
      </c>
      <c r="L228" s="57">
        <v>0</v>
      </c>
      <c r="M228" s="57">
        <f>E228*48%</f>
        <v>9.6</v>
      </c>
      <c r="N228" s="57">
        <f>E228*31%</f>
        <v>6.2</v>
      </c>
      <c r="O228" s="57">
        <f>E228*16%</f>
        <v>3.2</v>
      </c>
      <c r="P228" s="57">
        <f>E228*0.6%</f>
        <v>0.12</v>
      </c>
      <c r="Q228" s="57">
        <v>50</v>
      </c>
      <c r="R228" s="56">
        <f>C228/1000*50</f>
        <v>1.25</v>
      </c>
    </row>
    <row r="229" spans="1:18" s="30" customFormat="1" ht="26.25">
      <c r="A229" s="60"/>
      <c r="B229" s="94" t="s">
        <v>17</v>
      </c>
      <c r="C229" s="57">
        <v>5</v>
      </c>
      <c r="D229" s="57">
        <v>0</v>
      </c>
      <c r="E229" s="57">
        <v>3</v>
      </c>
      <c r="F229" s="57">
        <v>0</v>
      </c>
      <c r="G229" s="95">
        <f>E229*0.999</f>
        <v>2.9969999999999999</v>
      </c>
      <c r="H229" s="57">
        <v>0</v>
      </c>
      <c r="I229" s="57">
        <f>E229*8.99%</f>
        <v>0.26970000000000005</v>
      </c>
      <c r="J229" s="57">
        <f>E229*0.06%</f>
        <v>1.8E-3</v>
      </c>
      <c r="K229" s="57">
        <v>0</v>
      </c>
      <c r="L229" s="57">
        <v>0</v>
      </c>
      <c r="M229" s="57">
        <v>0</v>
      </c>
      <c r="N229" s="57">
        <v>0</v>
      </c>
      <c r="O229" s="57">
        <v>0</v>
      </c>
      <c r="P229" s="57">
        <v>0</v>
      </c>
      <c r="Q229" s="57">
        <v>150</v>
      </c>
      <c r="R229" s="56">
        <f>C229/1000*150</f>
        <v>0.75</v>
      </c>
    </row>
    <row r="230" spans="1:18" s="30" customFormat="1" ht="26.25">
      <c r="A230" s="60"/>
      <c r="B230" s="89" t="s">
        <v>69</v>
      </c>
      <c r="C230" s="90">
        <f>SUM(C226:C229)</f>
        <v>46</v>
      </c>
      <c r="D230" s="90">
        <f t="shared" ref="D230:P230" si="26">SUM(D226:D229)</f>
        <v>7</v>
      </c>
      <c r="E230" s="90">
        <f t="shared" si="26"/>
        <v>37</v>
      </c>
      <c r="F230" s="90">
        <f t="shared" si="26"/>
        <v>0.46399999999999997</v>
      </c>
      <c r="G230" s="90">
        <f t="shared" si="26"/>
        <v>9.0189999999999984</v>
      </c>
      <c r="H230" s="90">
        <f t="shared" si="26"/>
        <v>1.516</v>
      </c>
      <c r="I230" s="90">
        <f t="shared" si="26"/>
        <v>62.009699999999995</v>
      </c>
      <c r="J230" s="90">
        <f t="shared" si="26"/>
        <v>1.6199999999999999E-2</v>
      </c>
      <c r="K230" s="90">
        <f t="shared" si="26"/>
        <v>9.4</v>
      </c>
      <c r="L230" s="90">
        <f t="shared" si="26"/>
        <v>0</v>
      </c>
      <c r="M230" s="90">
        <f t="shared" si="26"/>
        <v>13.68</v>
      </c>
      <c r="N230" s="90">
        <f t="shared" si="26"/>
        <v>10.600000000000001</v>
      </c>
      <c r="O230" s="90">
        <f t="shared" si="26"/>
        <v>6.24</v>
      </c>
      <c r="P230" s="90">
        <f t="shared" si="26"/>
        <v>0.17599999999999999</v>
      </c>
      <c r="Q230" s="90"/>
      <c r="R230" s="90">
        <f>SUM(R226:R229)</f>
        <v>3.68</v>
      </c>
    </row>
    <row r="231" spans="1:18" s="30" customFormat="1" ht="26.25">
      <c r="A231" s="60"/>
      <c r="B231" s="100" t="s">
        <v>104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4"/>
    </row>
    <row r="232" spans="1:18" s="30" customFormat="1" ht="26.25">
      <c r="A232" s="60"/>
      <c r="B232" s="59" t="s">
        <v>69</v>
      </c>
      <c r="C232" s="59">
        <v>50</v>
      </c>
      <c r="D232" s="59">
        <v>0</v>
      </c>
      <c r="E232" s="59">
        <f>C232-D232</f>
        <v>50</v>
      </c>
      <c r="F232" s="59">
        <f>E232*7.9%</f>
        <v>3.95</v>
      </c>
      <c r="G232" s="59">
        <f>E232*1%</f>
        <v>0.5</v>
      </c>
      <c r="H232" s="59">
        <f>E232*48.1%</f>
        <v>24.05</v>
      </c>
      <c r="I232" s="59">
        <f>E232*239%</f>
        <v>119.5</v>
      </c>
      <c r="J232" s="59">
        <f>E232*0.16%</f>
        <v>0.08</v>
      </c>
      <c r="K232" s="59">
        <v>0</v>
      </c>
      <c r="L232" s="59">
        <v>0</v>
      </c>
      <c r="M232" s="59">
        <f>E232*23%</f>
        <v>11.5</v>
      </c>
      <c r="N232" s="59">
        <f>E232*87%</f>
        <v>43.5</v>
      </c>
      <c r="O232" s="59">
        <f>E232*33%</f>
        <v>16.5</v>
      </c>
      <c r="P232" s="59">
        <f>E232*2%</f>
        <v>1</v>
      </c>
      <c r="Q232" s="59">
        <v>50</v>
      </c>
      <c r="R232" s="59">
        <f>C232/1000*50</f>
        <v>2.5</v>
      </c>
    </row>
    <row r="233" spans="1:18" s="30" customFormat="1" ht="26.25">
      <c r="A233" s="60"/>
      <c r="B233" s="100" t="s">
        <v>105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4"/>
    </row>
    <row r="234" spans="1:18" s="30" customFormat="1" ht="26.25">
      <c r="A234" s="61"/>
      <c r="B234" s="57" t="s">
        <v>52</v>
      </c>
      <c r="C234" s="57">
        <v>1</v>
      </c>
      <c r="D234" s="57">
        <v>0</v>
      </c>
      <c r="E234" s="57">
        <f>C234-D234</f>
        <v>1</v>
      </c>
      <c r="F234" s="57">
        <f>E234*21.74%</f>
        <v>0.21739999999999998</v>
      </c>
      <c r="G234" s="57">
        <f>E234*7.61%</f>
        <v>7.6100000000000001E-2</v>
      </c>
      <c r="H234" s="57">
        <f>E234*2.86%</f>
        <v>2.86E-2</v>
      </c>
      <c r="I234" s="57">
        <f>E234*9.18%</f>
        <v>9.1799999999999993E-2</v>
      </c>
      <c r="J234" s="57">
        <f>E234*4.7%</f>
        <v>4.7E-2</v>
      </c>
      <c r="K234" s="57">
        <f>E234*11%</f>
        <v>0.11</v>
      </c>
      <c r="L234" s="57">
        <f>E234*5.6%</f>
        <v>5.5999999999999994E-2</v>
      </c>
      <c r="M234" s="57">
        <f>E234*50%</f>
        <v>0.5</v>
      </c>
      <c r="N234" s="57">
        <f>E234*10%</f>
        <v>0.1</v>
      </c>
      <c r="O234" s="57">
        <f>E234*110%</f>
        <v>1.1000000000000001</v>
      </c>
      <c r="P234" s="57">
        <f>E234*456%</f>
        <v>4.5599999999999996</v>
      </c>
      <c r="Q234" s="57">
        <v>950</v>
      </c>
      <c r="R234" s="57">
        <f>C234/1000*950</f>
        <v>0.95000000000000007</v>
      </c>
    </row>
    <row r="235" spans="1:18" s="30" customFormat="1" ht="26.25">
      <c r="A235" s="60"/>
      <c r="B235" s="57" t="s">
        <v>68</v>
      </c>
      <c r="C235" s="57">
        <v>15</v>
      </c>
      <c r="D235" s="57">
        <v>0</v>
      </c>
      <c r="E235" s="57">
        <v>15</v>
      </c>
      <c r="F235" s="57">
        <v>0</v>
      </c>
      <c r="G235" s="57">
        <v>0</v>
      </c>
      <c r="H235" s="57">
        <f>E235*99.8%</f>
        <v>14.97</v>
      </c>
      <c r="I235" s="57">
        <f>E235*379%</f>
        <v>56.85</v>
      </c>
      <c r="J235" s="57">
        <v>0</v>
      </c>
      <c r="K235" s="57">
        <v>0</v>
      </c>
      <c r="L235" s="57">
        <v>0</v>
      </c>
      <c r="M235" s="57">
        <f>E235*2%</f>
        <v>0.3</v>
      </c>
      <c r="N235" s="57">
        <v>0</v>
      </c>
      <c r="O235" s="57">
        <v>0</v>
      </c>
      <c r="P235" s="57">
        <f>E235*0.3%</f>
        <v>4.4999999999999998E-2</v>
      </c>
      <c r="Q235" s="57">
        <v>60</v>
      </c>
      <c r="R235" s="57">
        <f>C235/1000*60</f>
        <v>0.89999999999999991</v>
      </c>
    </row>
    <row r="236" spans="1:18" s="30" customFormat="1" ht="26.25">
      <c r="A236" s="60"/>
      <c r="B236" s="59" t="s">
        <v>69</v>
      </c>
      <c r="C236" s="59">
        <f>SUM(C234:C235)</f>
        <v>16</v>
      </c>
      <c r="D236" s="59">
        <f>SUM(D235:D235)</f>
        <v>0</v>
      </c>
      <c r="E236" s="59">
        <v>150</v>
      </c>
      <c r="F236" s="59">
        <f t="shared" ref="F236:P236" si="27">SUM(F235:F235)</f>
        <v>0</v>
      </c>
      <c r="G236" s="59">
        <f t="shared" si="27"/>
        <v>0</v>
      </c>
      <c r="H236" s="59">
        <f t="shared" si="27"/>
        <v>14.97</v>
      </c>
      <c r="I236" s="59">
        <f t="shared" si="27"/>
        <v>56.85</v>
      </c>
      <c r="J236" s="59">
        <f t="shared" si="27"/>
        <v>0</v>
      </c>
      <c r="K236" s="59">
        <f t="shared" si="27"/>
        <v>0</v>
      </c>
      <c r="L236" s="59">
        <f t="shared" si="27"/>
        <v>0</v>
      </c>
      <c r="M236" s="59">
        <f t="shared" si="27"/>
        <v>0.3</v>
      </c>
      <c r="N236" s="59">
        <f t="shared" si="27"/>
        <v>0</v>
      </c>
      <c r="O236" s="59">
        <f t="shared" si="27"/>
        <v>0</v>
      </c>
      <c r="P236" s="59">
        <f t="shared" si="27"/>
        <v>4.4999999999999998E-2</v>
      </c>
      <c r="Q236" s="59"/>
      <c r="R236" s="59">
        <f>SUM(R234:R235)</f>
        <v>1.85</v>
      </c>
    </row>
    <row r="237" spans="1:18" s="30" customFormat="1" ht="23.25" customHeight="1">
      <c r="A237" s="61"/>
      <c r="B237" s="66" t="s">
        <v>120</v>
      </c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2"/>
    </row>
    <row r="238" spans="1:18" s="30" customFormat="1" ht="26.25">
      <c r="A238" s="61"/>
      <c r="B238" s="59" t="s">
        <v>69</v>
      </c>
      <c r="C238" s="59">
        <v>110</v>
      </c>
      <c r="D238" s="59">
        <v>0</v>
      </c>
      <c r="E238" s="59">
        <f>C238-D238</f>
        <v>110</v>
      </c>
      <c r="F238" s="59">
        <f>E238*1.5%</f>
        <v>1.65</v>
      </c>
      <c r="G238" s="59">
        <f>E238*0.5%</f>
        <v>0.55000000000000004</v>
      </c>
      <c r="H238" s="59">
        <f>E238*21%</f>
        <v>23.099999999999998</v>
      </c>
      <c r="I238" s="59">
        <f>E238*96%</f>
        <v>105.6</v>
      </c>
      <c r="J238" s="59">
        <v>0</v>
      </c>
      <c r="K238" s="59">
        <v>8.6999999999999993</v>
      </c>
      <c r="L238" s="59">
        <v>3</v>
      </c>
      <c r="M238" s="59">
        <v>5</v>
      </c>
      <c r="N238" s="59">
        <v>22</v>
      </c>
      <c r="O238" s="59">
        <v>27</v>
      </c>
      <c r="P238" s="59">
        <v>0.3</v>
      </c>
      <c r="Q238" s="59">
        <v>122</v>
      </c>
      <c r="R238" s="59">
        <f>C238/1000*122</f>
        <v>13.42</v>
      </c>
    </row>
    <row r="239" spans="1:18" s="30" customFormat="1" ht="26.25">
      <c r="A239" s="60"/>
      <c r="B239" s="191" t="s">
        <v>106</v>
      </c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3"/>
    </row>
    <row r="240" spans="1:18" s="30" customFormat="1" ht="26.25">
      <c r="A240" s="60"/>
      <c r="B240" s="59" t="s">
        <v>69</v>
      </c>
      <c r="C240" s="69">
        <v>3</v>
      </c>
      <c r="D240" s="59">
        <v>0</v>
      </c>
      <c r="E240" s="69">
        <f>C240-D240</f>
        <v>3</v>
      </c>
      <c r="F240" s="59">
        <v>0</v>
      </c>
      <c r="G240" s="59">
        <v>0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59">
        <v>0</v>
      </c>
      <c r="N240" s="59">
        <v>0</v>
      </c>
      <c r="O240" s="59">
        <v>0</v>
      </c>
      <c r="P240" s="59">
        <v>0</v>
      </c>
      <c r="Q240" s="59">
        <v>20</v>
      </c>
      <c r="R240" s="69">
        <f>C240/1000*20</f>
        <v>0.06</v>
      </c>
    </row>
    <row r="241" spans="1:18" s="30" customFormat="1" ht="26.25">
      <c r="A241" s="60"/>
      <c r="B241" s="59"/>
      <c r="C241" s="69"/>
      <c r="D241" s="59"/>
      <c r="E241" s="6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69"/>
    </row>
    <row r="242" spans="1:18" s="30" customFormat="1" ht="26.25">
      <c r="A242" s="60"/>
      <c r="B242" s="59" t="s">
        <v>69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>
        <f>R240+R238+R236+R232+R230+R224</f>
        <v>61.015000000000001</v>
      </c>
    </row>
    <row r="243" spans="1:18" s="172" customFormat="1" ht="23.25" customHeight="1">
      <c r="A243" s="70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</row>
    <row r="244" spans="1:18" s="172" customFormat="1" ht="23.25" customHeight="1">
      <c r="A244" s="70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1:18" s="172" customFormat="1" ht="23.25" customHeight="1">
      <c r="A245" s="70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1:18" s="30" customFormat="1" ht="26.25">
      <c r="A246" s="31"/>
      <c r="B246" s="73" t="s">
        <v>0</v>
      </c>
      <c r="C246" s="33" t="s">
        <v>96</v>
      </c>
      <c r="D246" s="34" t="s">
        <v>20</v>
      </c>
      <c r="E246" s="34" t="s">
        <v>19</v>
      </c>
      <c r="F246" s="35" t="s">
        <v>1</v>
      </c>
      <c r="G246" s="35" t="s">
        <v>2</v>
      </c>
      <c r="H246" s="35" t="s">
        <v>3</v>
      </c>
      <c r="I246" s="35" t="s">
        <v>4</v>
      </c>
      <c r="J246" s="76" t="s">
        <v>5</v>
      </c>
      <c r="K246" s="76"/>
      <c r="L246" s="76"/>
      <c r="M246" s="76" t="s">
        <v>6</v>
      </c>
      <c r="N246" s="76"/>
      <c r="O246" s="76"/>
      <c r="P246" s="76"/>
      <c r="Q246" s="35" t="s">
        <v>66</v>
      </c>
      <c r="R246" s="39" t="s">
        <v>115</v>
      </c>
    </row>
    <row r="247" spans="1:18" s="30" customFormat="1" ht="26.25">
      <c r="A247" s="40"/>
      <c r="B247" s="73"/>
      <c r="C247" s="42"/>
      <c r="D247" s="43"/>
      <c r="E247" s="43"/>
      <c r="F247" s="44"/>
      <c r="G247" s="44"/>
      <c r="H247" s="44"/>
      <c r="I247" s="44"/>
      <c r="J247" s="35" t="s">
        <v>7</v>
      </c>
      <c r="K247" s="34" t="s">
        <v>8</v>
      </c>
      <c r="L247" s="35" t="s">
        <v>9</v>
      </c>
      <c r="M247" s="35" t="s">
        <v>10</v>
      </c>
      <c r="N247" s="35" t="s">
        <v>11</v>
      </c>
      <c r="O247" s="35" t="s">
        <v>12</v>
      </c>
      <c r="P247" s="35" t="s">
        <v>13</v>
      </c>
      <c r="Q247" s="44"/>
      <c r="R247" s="45"/>
    </row>
    <row r="248" spans="1:18" s="30" customFormat="1" ht="26.25">
      <c r="A248" s="46"/>
      <c r="B248" s="47" t="s">
        <v>87</v>
      </c>
      <c r="C248" s="48"/>
      <c r="D248" s="49"/>
      <c r="E248" s="49"/>
      <c r="F248" s="50"/>
      <c r="G248" s="50"/>
      <c r="H248" s="50"/>
      <c r="I248" s="50"/>
      <c r="J248" s="50"/>
      <c r="K248" s="49"/>
      <c r="L248" s="50"/>
      <c r="M248" s="50"/>
      <c r="N248" s="50"/>
      <c r="O248" s="50"/>
      <c r="P248" s="50"/>
      <c r="Q248" s="50"/>
      <c r="R248" s="51"/>
    </row>
    <row r="249" spans="1:18" s="30" customFormat="1" ht="26.25">
      <c r="A249" s="61"/>
      <c r="B249" s="53" t="s">
        <v>117</v>
      </c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9"/>
    </row>
    <row r="250" spans="1:18" s="30" customFormat="1" ht="26.25">
      <c r="A250" s="61"/>
      <c r="B250" s="56" t="s">
        <v>79</v>
      </c>
      <c r="C250" s="57">
        <v>50</v>
      </c>
      <c r="D250" s="57">
        <v>0</v>
      </c>
      <c r="E250" s="57">
        <f>C250-D250</f>
        <v>50</v>
      </c>
      <c r="F250" s="57">
        <f>E250*12.6%</f>
        <v>6.3</v>
      </c>
      <c r="G250" s="57">
        <f>E250*3.3%</f>
        <v>1.6500000000000001</v>
      </c>
      <c r="H250" s="57">
        <f>E250*62.1%</f>
        <v>31.05</v>
      </c>
      <c r="I250" s="57">
        <f>E250*335%</f>
        <v>167.5</v>
      </c>
      <c r="J250" s="57">
        <f>E250*0.43%</f>
        <v>0.215</v>
      </c>
      <c r="K250" s="57">
        <v>0</v>
      </c>
      <c r="L250" s="57">
        <v>0</v>
      </c>
      <c r="M250" s="57">
        <f>E250*20%</f>
        <v>10</v>
      </c>
      <c r="N250" s="57">
        <f>E250*298%</f>
        <v>149</v>
      </c>
      <c r="O250" s="57">
        <f>E250*200%</f>
        <v>100</v>
      </c>
      <c r="P250" s="57">
        <f>E250*6.7%</f>
        <v>3.35</v>
      </c>
      <c r="Q250" s="57">
        <v>67</v>
      </c>
      <c r="R250" s="58">
        <f>C250/1000*67</f>
        <v>3.35</v>
      </c>
    </row>
    <row r="251" spans="1:18" s="30" customFormat="1" ht="26.25">
      <c r="A251" s="61"/>
      <c r="B251" s="56" t="s">
        <v>22</v>
      </c>
      <c r="C251" s="57">
        <v>15</v>
      </c>
      <c r="D251" s="57">
        <v>0</v>
      </c>
      <c r="E251" s="57">
        <f>C251-D251</f>
        <v>15</v>
      </c>
      <c r="F251" s="57">
        <f>E251*0.5%</f>
        <v>7.4999999999999997E-2</v>
      </c>
      <c r="G251" s="57">
        <f>E251*82.5%</f>
        <v>12.375</v>
      </c>
      <c r="H251" s="57">
        <f>E251*0.8%</f>
        <v>0.12</v>
      </c>
      <c r="I251" s="57">
        <f>E251*748%</f>
        <v>112.2</v>
      </c>
      <c r="J251" s="57">
        <v>0</v>
      </c>
      <c r="K251" s="57">
        <v>0</v>
      </c>
      <c r="L251" s="57">
        <f>E251*0.59%</f>
        <v>8.8499999999999995E-2</v>
      </c>
      <c r="M251" s="57">
        <f>E251*12%</f>
        <v>1.7999999999999998</v>
      </c>
      <c r="N251" s="57">
        <f>E251*19%</f>
        <v>2.85</v>
      </c>
      <c r="O251" s="57">
        <f>E251*0.4%</f>
        <v>0.06</v>
      </c>
      <c r="P251" s="57">
        <f>E251*0.2%</f>
        <v>0.03</v>
      </c>
      <c r="Q251" s="57">
        <v>480</v>
      </c>
      <c r="R251" s="58">
        <f>C251/1000*480</f>
        <v>7.1999999999999993</v>
      </c>
    </row>
    <row r="252" spans="1:18" s="30" customFormat="1" ht="26.25">
      <c r="A252" s="61"/>
      <c r="B252" s="52" t="s">
        <v>69</v>
      </c>
      <c r="C252" s="59">
        <f>C251+C250</f>
        <v>65</v>
      </c>
      <c r="D252" s="59">
        <f t="shared" ref="D252" si="28">SUM(D250:D251)</f>
        <v>0</v>
      </c>
      <c r="E252" s="59">
        <v>150</v>
      </c>
      <c r="F252" s="59">
        <f t="shared" ref="F252:P252" si="29">SUM(F250:F251)</f>
        <v>6.375</v>
      </c>
      <c r="G252" s="59">
        <f t="shared" si="29"/>
        <v>14.025</v>
      </c>
      <c r="H252" s="59">
        <f t="shared" si="29"/>
        <v>31.17</v>
      </c>
      <c r="I252" s="59">
        <f t="shared" si="29"/>
        <v>279.7</v>
      </c>
      <c r="J252" s="59">
        <f t="shared" si="29"/>
        <v>0.215</v>
      </c>
      <c r="K252" s="59">
        <f t="shared" si="29"/>
        <v>0</v>
      </c>
      <c r="L252" s="59">
        <f t="shared" si="29"/>
        <v>8.8499999999999995E-2</v>
      </c>
      <c r="M252" s="59">
        <f t="shared" si="29"/>
        <v>11.8</v>
      </c>
      <c r="N252" s="59">
        <f t="shared" si="29"/>
        <v>151.85</v>
      </c>
      <c r="O252" s="59">
        <f t="shared" si="29"/>
        <v>100.06</v>
      </c>
      <c r="P252" s="59">
        <f t="shared" si="29"/>
        <v>3.38</v>
      </c>
      <c r="Q252" s="59"/>
      <c r="R252" s="59">
        <f t="shared" ref="R252" si="30">SUM(R250:R251)</f>
        <v>10.549999999999999</v>
      </c>
    </row>
    <row r="253" spans="1:18" s="30" customFormat="1" ht="26.25">
      <c r="A253" s="61"/>
      <c r="B253" s="53" t="s">
        <v>108</v>
      </c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9"/>
    </row>
    <row r="254" spans="1:18" s="30" customFormat="1" ht="26.25">
      <c r="A254" s="61"/>
      <c r="B254" s="56" t="s">
        <v>74</v>
      </c>
      <c r="C254" s="57">
        <v>90</v>
      </c>
      <c r="D254" s="57">
        <f>C254*25%</f>
        <v>22.5</v>
      </c>
      <c r="E254" s="57">
        <f>C254-D254</f>
        <v>67.5</v>
      </c>
      <c r="F254" s="57">
        <f>E254*18.2%</f>
        <v>12.285</v>
      </c>
      <c r="G254" s="57">
        <f>E254*18.4%</f>
        <v>12.42</v>
      </c>
      <c r="H254" s="57">
        <f>E254*0.7%</f>
        <v>0.47249999999999998</v>
      </c>
      <c r="I254" s="57">
        <f>E254*241%</f>
        <v>162.67500000000001</v>
      </c>
      <c r="J254" s="57">
        <f>E254*0.07%</f>
        <v>4.7250000000000007E-2</v>
      </c>
      <c r="K254" s="57">
        <v>0</v>
      </c>
      <c r="L254" s="57">
        <f>E254*0.07%</f>
        <v>4.7250000000000007E-2</v>
      </c>
      <c r="M254" s="57">
        <f>E254*16%</f>
        <v>10.8</v>
      </c>
      <c r="N254" s="57">
        <f>E254*165%</f>
        <v>111.375</v>
      </c>
      <c r="O254" s="57">
        <f>E254*18%</f>
        <v>12.15</v>
      </c>
      <c r="P254" s="57">
        <f>E254*1.6%</f>
        <v>1.08</v>
      </c>
      <c r="Q254" s="57">
        <v>270</v>
      </c>
      <c r="R254" s="57">
        <f>C254/1000*270</f>
        <v>24.3</v>
      </c>
    </row>
    <row r="255" spans="1:18" s="30" customFormat="1" ht="26.25">
      <c r="A255" s="61"/>
      <c r="B255" s="59" t="s">
        <v>69</v>
      </c>
      <c r="C255" s="59">
        <f>SUM(C254:C254)</f>
        <v>90</v>
      </c>
      <c r="D255" s="59">
        <f>SUM(D254:D254)</f>
        <v>22.5</v>
      </c>
      <c r="E255" s="59">
        <f>C255-D255</f>
        <v>67.5</v>
      </c>
      <c r="F255" s="59">
        <f t="shared" ref="F255:P255" si="31">SUM(F254:F254)</f>
        <v>12.285</v>
      </c>
      <c r="G255" s="59">
        <f t="shared" si="31"/>
        <v>12.42</v>
      </c>
      <c r="H255" s="59">
        <f t="shared" si="31"/>
        <v>0.47249999999999998</v>
      </c>
      <c r="I255" s="59">
        <f t="shared" si="31"/>
        <v>162.67500000000001</v>
      </c>
      <c r="J255" s="59">
        <f t="shared" si="31"/>
        <v>4.7250000000000007E-2</v>
      </c>
      <c r="K255" s="59">
        <f t="shared" si="31"/>
        <v>0</v>
      </c>
      <c r="L255" s="59">
        <f t="shared" si="31"/>
        <v>4.7250000000000007E-2</v>
      </c>
      <c r="M255" s="59">
        <f t="shared" si="31"/>
        <v>10.8</v>
      </c>
      <c r="N255" s="59">
        <f t="shared" si="31"/>
        <v>111.375</v>
      </c>
      <c r="O255" s="59">
        <f t="shared" si="31"/>
        <v>12.15</v>
      </c>
      <c r="P255" s="59">
        <f t="shared" si="31"/>
        <v>1.08</v>
      </c>
      <c r="Q255" s="59"/>
      <c r="R255" s="59">
        <f t="shared" ref="R255" si="32">SUM(R254:R254)</f>
        <v>24.3</v>
      </c>
    </row>
    <row r="256" spans="1:18" s="30" customFormat="1" ht="26.25">
      <c r="A256" s="61"/>
      <c r="B256" s="62" t="s">
        <v>104</v>
      </c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4"/>
    </row>
    <row r="257" spans="1:18" s="30" customFormat="1" ht="26.25">
      <c r="A257" s="61"/>
      <c r="B257" s="59" t="s">
        <v>69</v>
      </c>
      <c r="C257" s="59">
        <v>50</v>
      </c>
      <c r="D257" s="59">
        <v>0</v>
      </c>
      <c r="E257" s="59">
        <v>50</v>
      </c>
      <c r="F257" s="59">
        <f>E257*7.9%</f>
        <v>3.95</v>
      </c>
      <c r="G257" s="59">
        <f>E257*1%</f>
        <v>0.5</v>
      </c>
      <c r="H257" s="59">
        <f>E257*48.1%</f>
        <v>24.05</v>
      </c>
      <c r="I257" s="59">
        <f>E257*239%</f>
        <v>119.5</v>
      </c>
      <c r="J257" s="59">
        <f>E257*0.16%</f>
        <v>0.08</v>
      </c>
      <c r="K257" s="59">
        <v>0</v>
      </c>
      <c r="L257" s="59">
        <v>0</v>
      </c>
      <c r="M257" s="59">
        <f>E257*23%</f>
        <v>11.5</v>
      </c>
      <c r="N257" s="59">
        <f>E257*87%</f>
        <v>43.5</v>
      </c>
      <c r="O257" s="59">
        <f>E257*33%</f>
        <v>16.5</v>
      </c>
      <c r="P257" s="59">
        <f>E257*2%</f>
        <v>1</v>
      </c>
      <c r="Q257" s="59">
        <v>50</v>
      </c>
      <c r="R257" s="59">
        <f>C257/1000*50</f>
        <v>2.5</v>
      </c>
    </row>
    <row r="258" spans="1:18" s="30" customFormat="1" ht="26.25">
      <c r="A258" s="61"/>
      <c r="B258" s="62" t="s">
        <v>110</v>
      </c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4"/>
    </row>
    <row r="259" spans="1:18" s="30" customFormat="1" ht="26.25">
      <c r="A259" s="61"/>
      <c r="B259" s="57" t="s">
        <v>67</v>
      </c>
      <c r="C259" s="57">
        <v>15</v>
      </c>
      <c r="D259" s="57">
        <v>0</v>
      </c>
      <c r="E259" s="57">
        <v>15</v>
      </c>
      <c r="F259" s="57">
        <f>E259*5.2%</f>
        <v>0.78</v>
      </c>
      <c r="G259" s="57">
        <v>0</v>
      </c>
      <c r="H259" s="57">
        <f>E259*55%</f>
        <v>8.25</v>
      </c>
      <c r="I259" s="57">
        <f>E259*234%</f>
        <v>35.099999999999994</v>
      </c>
      <c r="J259" s="57">
        <f>E259*0.1%</f>
        <v>1.4999999999999999E-2</v>
      </c>
      <c r="K259" s="57">
        <f>E259*4%</f>
        <v>0.6</v>
      </c>
      <c r="L259" s="57">
        <v>0</v>
      </c>
      <c r="M259" s="57">
        <f>E259*160%</f>
        <v>24</v>
      </c>
      <c r="N259" s="57">
        <f>E259*146%</f>
        <v>21.9</v>
      </c>
      <c r="O259" s="57">
        <f>E259*105%</f>
        <v>15.75</v>
      </c>
      <c r="P259" s="57">
        <f>E259*3.2%</f>
        <v>0.48</v>
      </c>
      <c r="Q259" s="57">
        <v>350</v>
      </c>
      <c r="R259" s="57">
        <f>C259/1000*350</f>
        <v>5.25</v>
      </c>
    </row>
    <row r="260" spans="1:18" s="30" customFormat="1" ht="26.25">
      <c r="A260" s="61"/>
      <c r="B260" s="57" t="s">
        <v>68</v>
      </c>
      <c r="C260" s="57">
        <v>10</v>
      </c>
      <c r="D260" s="57">
        <v>0</v>
      </c>
      <c r="E260" s="57">
        <v>10</v>
      </c>
      <c r="F260" s="57">
        <v>0</v>
      </c>
      <c r="G260" s="57">
        <v>0</v>
      </c>
      <c r="H260" s="57">
        <f>E260*99.8%</f>
        <v>9.98</v>
      </c>
      <c r="I260" s="57">
        <f>E260*379%</f>
        <v>37.9</v>
      </c>
      <c r="J260" s="57">
        <v>0</v>
      </c>
      <c r="K260" s="57">
        <v>0</v>
      </c>
      <c r="L260" s="57">
        <v>0</v>
      </c>
      <c r="M260" s="57">
        <f>E260*2%</f>
        <v>0.2</v>
      </c>
      <c r="N260" s="57">
        <v>0</v>
      </c>
      <c r="O260" s="57">
        <v>0</v>
      </c>
      <c r="P260" s="57">
        <f>E260*0.3%</f>
        <v>0.03</v>
      </c>
      <c r="Q260" s="57">
        <v>60</v>
      </c>
      <c r="R260" s="57">
        <f>C260/1000*60</f>
        <v>0.6</v>
      </c>
    </row>
    <row r="261" spans="1:18" s="30" customFormat="1" ht="26.25">
      <c r="A261" s="61"/>
      <c r="B261" s="59" t="s">
        <v>69</v>
      </c>
      <c r="C261" s="59">
        <v>25</v>
      </c>
      <c r="D261" s="59">
        <f t="shared" ref="D261" si="33">SUM(D259:D260)</f>
        <v>0</v>
      </c>
      <c r="E261" s="59">
        <v>150</v>
      </c>
      <c r="F261" s="59">
        <f t="shared" ref="F261:P261" si="34">SUM(F259:F260)</f>
        <v>0.78</v>
      </c>
      <c r="G261" s="59">
        <f t="shared" si="34"/>
        <v>0</v>
      </c>
      <c r="H261" s="59">
        <f t="shared" si="34"/>
        <v>18.23</v>
      </c>
      <c r="I261" s="59">
        <f t="shared" si="34"/>
        <v>73</v>
      </c>
      <c r="J261" s="59">
        <f t="shared" si="34"/>
        <v>1.4999999999999999E-2</v>
      </c>
      <c r="K261" s="59">
        <f t="shared" si="34"/>
        <v>0.6</v>
      </c>
      <c r="L261" s="59">
        <f t="shared" si="34"/>
        <v>0</v>
      </c>
      <c r="M261" s="59">
        <f t="shared" si="34"/>
        <v>24.2</v>
      </c>
      <c r="N261" s="59">
        <f t="shared" si="34"/>
        <v>21.9</v>
      </c>
      <c r="O261" s="59">
        <f t="shared" si="34"/>
        <v>15.75</v>
      </c>
      <c r="P261" s="59">
        <f t="shared" si="34"/>
        <v>0.51</v>
      </c>
      <c r="Q261" s="59"/>
      <c r="R261" s="59">
        <f>SUM(R259:R260)</f>
        <v>5.85</v>
      </c>
    </row>
    <row r="262" spans="1:18" s="30" customFormat="1" ht="26.25">
      <c r="A262" s="61"/>
      <c r="B262" s="66" t="s">
        <v>111</v>
      </c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8"/>
    </row>
    <row r="263" spans="1:18" s="30" customFormat="1" ht="26.25">
      <c r="A263" s="61"/>
      <c r="B263" s="59" t="s">
        <v>69</v>
      </c>
      <c r="C263" s="59">
        <v>40</v>
      </c>
      <c r="D263" s="59">
        <v>0</v>
      </c>
      <c r="E263" s="59">
        <f>C263-D263</f>
        <v>40</v>
      </c>
      <c r="F263" s="57">
        <f>E263*7.5%</f>
        <v>3</v>
      </c>
      <c r="G263" s="57">
        <f>E263*11.8%</f>
        <v>4.7200000000000006</v>
      </c>
      <c r="H263" s="57">
        <f>E263*74.4%</f>
        <v>29.760000000000005</v>
      </c>
      <c r="I263" s="57">
        <f>E263*436%</f>
        <v>174.4</v>
      </c>
      <c r="J263" s="57">
        <f>E263*0.08%</f>
        <v>3.2000000000000001E-2</v>
      </c>
      <c r="K263" s="57">
        <f>E263*0%</f>
        <v>0</v>
      </c>
      <c r="L263" s="57">
        <f>E263*0%</f>
        <v>0</v>
      </c>
      <c r="M263" s="57">
        <f>E263*29%</f>
        <v>11.6</v>
      </c>
      <c r="N263" s="57">
        <f>E263*90%</f>
        <v>36</v>
      </c>
      <c r="O263" s="57">
        <f>E263*20%</f>
        <v>8</v>
      </c>
      <c r="P263" s="57">
        <f>E263*2.1%</f>
        <v>0.84000000000000008</v>
      </c>
      <c r="Q263" s="57">
        <v>160</v>
      </c>
      <c r="R263" s="59">
        <f>C263/1000*160</f>
        <v>6.4</v>
      </c>
    </row>
    <row r="264" spans="1:18" s="30" customFormat="1" ht="24.75" customHeight="1">
      <c r="A264" s="61"/>
      <c r="B264" s="62" t="s">
        <v>109</v>
      </c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4"/>
    </row>
    <row r="265" spans="1:18" s="30" customFormat="1" ht="26.25">
      <c r="A265" s="61"/>
      <c r="B265" s="59" t="s">
        <v>69</v>
      </c>
      <c r="C265" s="59">
        <v>145</v>
      </c>
      <c r="D265" s="59">
        <v>0</v>
      </c>
      <c r="E265" s="59">
        <f>C265-D265</f>
        <v>145</v>
      </c>
      <c r="F265" s="59">
        <f>E265*0.4%</f>
        <v>0.57999999999999996</v>
      </c>
      <c r="G265" s="59">
        <f>E265*0.4%</f>
        <v>0.57999999999999996</v>
      </c>
      <c r="H265" s="59">
        <f>E265*9.8%</f>
        <v>14.21</v>
      </c>
      <c r="I265" s="59">
        <f>E265*45%</f>
        <v>65.25</v>
      </c>
      <c r="J265" s="59">
        <f>E265*0.03%</f>
        <v>4.3499999999999997E-2</v>
      </c>
      <c r="K265" s="59">
        <f>E265*13%</f>
        <v>18.850000000000001</v>
      </c>
      <c r="L265" s="59">
        <v>0</v>
      </c>
      <c r="M265" s="59">
        <f>E265*16%</f>
        <v>23.2</v>
      </c>
      <c r="N265" s="59">
        <f>E265*11%</f>
        <v>15.95</v>
      </c>
      <c r="O265" s="59">
        <f>E265*9%</f>
        <v>13.049999999999999</v>
      </c>
      <c r="P265" s="59">
        <f>E265*2.2%</f>
        <v>3.1900000000000004</v>
      </c>
      <c r="Q265" s="59">
        <v>78</v>
      </c>
      <c r="R265" s="59">
        <f>C265/1000*78</f>
        <v>11.309999999999999</v>
      </c>
    </row>
    <row r="266" spans="1:18" s="30" customFormat="1" ht="26.25">
      <c r="A266" s="60"/>
      <c r="B266" s="66" t="s">
        <v>102</v>
      </c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8"/>
    </row>
    <row r="267" spans="1:18" s="30" customFormat="1" ht="26.25">
      <c r="A267" s="60"/>
      <c r="B267" s="59" t="s">
        <v>69</v>
      </c>
      <c r="C267" s="69">
        <v>3</v>
      </c>
      <c r="D267" s="59">
        <v>0</v>
      </c>
      <c r="E267" s="69">
        <f>C267-D267</f>
        <v>3</v>
      </c>
      <c r="F267" s="59">
        <v>0</v>
      </c>
      <c r="G267" s="59">
        <v>0</v>
      </c>
      <c r="H267" s="59">
        <v>0</v>
      </c>
      <c r="I267" s="59">
        <v>0</v>
      </c>
      <c r="J267" s="59">
        <v>0</v>
      </c>
      <c r="K267" s="59">
        <v>0</v>
      </c>
      <c r="L267" s="59">
        <v>0</v>
      </c>
      <c r="M267" s="59">
        <v>0</v>
      </c>
      <c r="N267" s="59">
        <v>0</v>
      </c>
      <c r="O267" s="59">
        <v>0</v>
      </c>
      <c r="P267" s="59">
        <v>0</v>
      </c>
      <c r="Q267" s="59">
        <v>20</v>
      </c>
      <c r="R267" s="69">
        <f>C267/1000*20</f>
        <v>0.06</v>
      </c>
    </row>
    <row r="268" spans="1:18" s="30" customFormat="1" ht="26.25">
      <c r="A268" s="60"/>
      <c r="B268" s="59"/>
      <c r="C268" s="69"/>
      <c r="D268" s="59"/>
      <c r="E268" s="6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69"/>
    </row>
    <row r="269" spans="1:18" s="30" customFormat="1" ht="23.25" customHeight="1">
      <c r="A269" s="60"/>
      <c r="B269" s="59" t="s">
        <v>69</v>
      </c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>
        <f>R267+R265+R263+R261+R257+R255+R252</f>
        <v>60.97</v>
      </c>
    </row>
    <row r="270" spans="1:18" s="172" customFormat="1" ht="27" customHeight="1">
      <c r="A270" s="70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</row>
    <row r="271" spans="1:18" s="172" customFormat="1" ht="27" customHeight="1">
      <c r="A271" s="70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spans="1:18" s="172" customFormat="1" ht="27" customHeight="1">
      <c r="A272" s="70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spans="1:18" s="30" customFormat="1" ht="26.25">
      <c r="A273" s="31"/>
      <c r="B273" s="73" t="s">
        <v>0</v>
      </c>
      <c r="C273" s="33" t="s">
        <v>96</v>
      </c>
      <c r="D273" s="34" t="s">
        <v>20</v>
      </c>
      <c r="E273" s="34" t="s">
        <v>19</v>
      </c>
      <c r="F273" s="35" t="s">
        <v>1</v>
      </c>
      <c r="G273" s="35" t="s">
        <v>2</v>
      </c>
      <c r="H273" s="35" t="s">
        <v>3</v>
      </c>
      <c r="I273" s="35" t="s">
        <v>4</v>
      </c>
      <c r="J273" s="76" t="s">
        <v>5</v>
      </c>
      <c r="K273" s="76"/>
      <c r="L273" s="76"/>
      <c r="M273" s="76" t="s">
        <v>6</v>
      </c>
      <c r="N273" s="76"/>
      <c r="O273" s="76"/>
      <c r="P273" s="76"/>
      <c r="Q273" s="35" t="s">
        <v>66</v>
      </c>
      <c r="R273" s="39" t="s">
        <v>115</v>
      </c>
    </row>
    <row r="274" spans="1:18" s="30" customFormat="1" ht="26.25">
      <c r="A274" s="40"/>
      <c r="B274" s="73"/>
      <c r="C274" s="42"/>
      <c r="D274" s="43"/>
      <c r="E274" s="43"/>
      <c r="F274" s="44"/>
      <c r="G274" s="44"/>
      <c r="H274" s="44"/>
      <c r="I274" s="44"/>
      <c r="J274" s="35" t="s">
        <v>7</v>
      </c>
      <c r="K274" s="34" t="s">
        <v>8</v>
      </c>
      <c r="L274" s="35" t="s">
        <v>9</v>
      </c>
      <c r="M274" s="35" t="s">
        <v>10</v>
      </c>
      <c r="N274" s="35" t="s">
        <v>11</v>
      </c>
      <c r="O274" s="35" t="s">
        <v>12</v>
      </c>
      <c r="P274" s="35" t="s">
        <v>13</v>
      </c>
      <c r="Q274" s="44"/>
      <c r="R274" s="45"/>
    </row>
    <row r="275" spans="1:18" s="30" customFormat="1" ht="26.25">
      <c r="A275" s="46"/>
      <c r="B275" s="47" t="s">
        <v>88</v>
      </c>
      <c r="C275" s="48"/>
      <c r="D275" s="49"/>
      <c r="E275" s="49"/>
      <c r="F275" s="50"/>
      <c r="G275" s="50"/>
      <c r="H275" s="50"/>
      <c r="I275" s="50"/>
      <c r="J275" s="50"/>
      <c r="K275" s="49"/>
      <c r="L275" s="50"/>
      <c r="M275" s="50"/>
      <c r="N275" s="50"/>
      <c r="O275" s="50"/>
      <c r="P275" s="50"/>
      <c r="Q275" s="50"/>
      <c r="R275" s="51"/>
    </row>
    <row r="276" spans="1:18" s="111" customFormat="1" ht="26.25">
      <c r="A276" s="194"/>
      <c r="B276" s="195" t="s">
        <v>124</v>
      </c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7"/>
    </row>
    <row r="277" spans="1:18" s="30" customFormat="1" ht="26.25">
      <c r="A277" s="61"/>
      <c r="B277" s="94" t="s">
        <v>86</v>
      </c>
      <c r="C277" s="57">
        <v>80</v>
      </c>
      <c r="D277" s="57">
        <f>C277*20%</f>
        <v>16</v>
      </c>
      <c r="E277" s="57">
        <f>C277-D277</f>
        <v>64</v>
      </c>
      <c r="F277" s="57">
        <f>E277*18%</f>
        <v>11.52</v>
      </c>
      <c r="G277" s="57">
        <f>E277*13.2%</f>
        <v>8.4480000000000004</v>
      </c>
      <c r="H277" s="57">
        <v>0</v>
      </c>
      <c r="I277" s="57">
        <f>E277*191%</f>
        <v>122.24</v>
      </c>
      <c r="J277" s="57">
        <f>E277*0.12%</f>
        <v>7.6799999999999993E-2</v>
      </c>
      <c r="K277" s="57">
        <f>E277*1.2%</f>
        <v>0.76800000000000002</v>
      </c>
      <c r="L277" s="57">
        <f>E277*0.01%</f>
        <v>6.4000000000000003E-3</v>
      </c>
      <c r="M277" s="57">
        <f>E277*40%</f>
        <v>25.6</v>
      </c>
      <c r="N277" s="57">
        <f>E277*280%</f>
        <v>179.2</v>
      </c>
      <c r="O277" s="57">
        <f>E277*50%</f>
        <v>32</v>
      </c>
      <c r="P277" s="57">
        <f>E277*1.7%</f>
        <v>1.0880000000000001</v>
      </c>
      <c r="Q277" s="57">
        <v>350</v>
      </c>
      <c r="R277" s="57">
        <f>C277/1000*350</f>
        <v>28</v>
      </c>
    </row>
    <row r="278" spans="1:18" s="30" customFormat="1" ht="26.25">
      <c r="A278" s="61"/>
      <c r="B278" s="94" t="s">
        <v>17</v>
      </c>
      <c r="C278" s="57">
        <v>9</v>
      </c>
      <c r="D278" s="57">
        <v>0</v>
      </c>
      <c r="E278" s="57">
        <f>C278-D278</f>
        <v>9</v>
      </c>
      <c r="F278" s="57">
        <v>0</v>
      </c>
      <c r="G278" s="95">
        <f>E278*99.9%</f>
        <v>8.9910000000000014</v>
      </c>
      <c r="H278" s="57">
        <v>0</v>
      </c>
      <c r="I278" s="57">
        <f>E278*8.99%</f>
        <v>0.80910000000000004</v>
      </c>
      <c r="J278" s="57">
        <f>E278*0.06%</f>
        <v>5.3999999999999994E-3</v>
      </c>
      <c r="K278" s="57">
        <v>0</v>
      </c>
      <c r="L278" s="57">
        <v>0</v>
      </c>
      <c r="M278" s="57">
        <v>0</v>
      </c>
      <c r="N278" s="57">
        <v>0</v>
      </c>
      <c r="O278" s="57">
        <v>0</v>
      </c>
      <c r="P278" s="57">
        <v>0</v>
      </c>
      <c r="Q278" s="57">
        <v>150</v>
      </c>
      <c r="R278" s="56">
        <f>C278/1000*150</f>
        <v>1.3499999999999999</v>
      </c>
    </row>
    <row r="279" spans="1:18" s="30" customFormat="1" ht="26.25">
      <c r="A279" s="61"/>
      <c r="B279" s="89" t="s">
        <v>69</v>
      </c>
      <c r="C279" s="90">
        <f>SUM(C277:C278)</f>
        <v>89</v>
      </c>
      <c r="D279" s="90">
        <f>SUM(D278:D278)</f>
        <v>0</v>
      </c>
      <c r="E279" s="90">
        <v>59</v>
      </c>
      <c r="F279" s="90">
        <f t="shared" ref="F279:P279" si="35">SUM(F277:F278)</f>
        <v>11.52</v>
      </c>
      <c r="G279" s="90">
        <f t="shared" si="35"/>
        <v>17.439</v>
      </c>
      <c r="H279" s="90">
        <f t="shared" si="35"/>
        <v>0</v>
      </c>
      <c r="I279" s="90">
        <f t="shared" si="35"/>
        <v>123.0491</v>
      </c>
      <c r="J279" s="90">
        <f t="shared" si="35"/>
        <v>8.2199999999999995E-2</v>
      </c>
      <c r="K279" s="90">
        <f t="shared" si="35"/>
        <v>0.76800000000000002</v>
      </c>
      <c r="L279" s="90">
        <f t="shared" si="35"/>
        <v>6.4000000000000003E-3</v>
      </c>
      <c r="M279" s="90">
        <f t="shared" si="35"/>
        <v>25.6</v>
      </c>
      <c r="N279" s="90">
        <f t="shared" si="35"/>
        <v>179.2</v>
      </c>
      <c r="O279" s="90">
        <f t="shared" si="35"/>
        <v>32</v>
      </c>
      <c r="P279" s="90">
        <f t="shared" si="35"/>
        <v>1.0880000000000001</v>
      </c>
      <c r="Q279" s="90"/>
      <c r="R279" s="90">
        <f t="shared" ref="R279" si="36">SUM(R277:R278)</f>
        <v>29.35</v>
      </c>
    </row>
    <row r="280" spans="1:18" s="111" customFormat="1" ht="26.25">
      <c r="A280" s="108" t="s">
        <v>125</v>
      </c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10"/>
    </row>
    <row r="281" spans="1:18" s="30" customFormat="1" ht="26.25">
      <c r="A281" s="60"/>
      <c r="B281" s="56" t="s">
        <v>72</v>
      </c>
      <c r="C281" s="57">
        <v>150</v>
      </c>
      <c r="D281" s="57">
        <f>C281*0.25</f>
        <v>37.5</v>
      </c>
      <c r="E281" s="57">
        <f>C281-D281</f>
        <v>112.5</v>
      </c>
      <c r="F281" s="57">
        <f>E281*2%</f>
        <v>2.25</v>
      </c>
      <c r="G281" s="57">
        <f>E281*0.4%</f>
        <v>0.45</v>
      </c>
      <c r="H281" s="57">
        <f>E281*16.3%</f>
        <v>18.337500000000002</v>
      </c>
      <c r="I281" s="57">
        <f>E281*80%</f>
        <v>90</v>
      </c>
      <c r="J281" s="57">
        <f>E281*0.12%</f>
        <v>0.13499999999999998</v>
      </c>
      <c r="K281" s="57">
        <f>E281*20%</f>
        <v>22.5</v>
      </c>
      <c r="L281" s="57">
        <v>0</v>
      </c>
      <c r="M281" s="57">
        <f>E281*10%</f>
        <v>11.25</v>
      </c>
      <c r="N281" s="57">
        <f>E281*58%</f>
        <v>65.25</v>
      </c>
      <c r="O281" s="57">
        <f>E281*23%</f>
        <v>25.875</v>
      </c>
      <c r="P281" s="57">
        <f>E281*0.9%</f>
        <v>1.0125000000000002</v>
      </c>
      <c r="Q281" s="57">
        <v>57</v>
      </c>
      <c r="R281" s="57">
        <f>C281/1000*57</f>
        <v>8.5499999999999989</v>
      </c>
    </row>
    <row r="282" spans="1:18" s="30" customFormat="1" ht="26.25">
      <c r="A282" s="60"/>
      <c r="B282" s="56" t="s">
        <v>22</v>
      </c>
      <c r="C282" s="57">
        <v>15</v>
      </c>
      <c r="D282" s="57">
        <v>0</v>
      </c>
      <c r="E282" s="57">
        <f>C282-D282</f>
        <v>15</v>
      </c>
      <c r="F282" s="57">
        <f>E282*0.5%</f>
        <v>7.4999999999999997E-2</v>
      </c>
      <c r="G282" s="57">
        <f>E282*82.5%</f>
        <v>12.375</v>
      </c>
      <c r="H282" s="57">
        <f>E282*0.8%</f>
        <v>0.12</v>
      </c>
      <c r="I282" s="57">
        <f>E282*748%</f>
        <v>112.2</v>
      </c>
      <c r="J282" s="57">
        <v>0</v>
      </c>
      <c r="K282" s="57">
        <v>0</v>
      </c>
      <c r="L282" s="57">
        <f>E282*0.59%</f>
        <v>8.8499999999999995E-2</v>
      </c>
      <c r="M282" s="57">
        <f>E282*12%</f>
        <v>1.7999999999999998</v>
      </c>
      <c r="N282" s="57">
        <f>E282*19%</f>
        <v>2.85</v>
      </c>
      <c r="O282" s="57">
        <f>E282*0.4%</f>
        <v>0.06</v>
      </c>
      <c r="P282" s="57">
        <f>E282*0.2%</f>
        <v>0.03</v>
      </c>
      <c r="Q282" s="57">
        <v>480</v>
      </c>
      <c r="R282" s="58">
        <f>C282/1000*480</f>
        <v>7.1999999999999993</v>
      </c>
    </row>
    <row r="283" spans="1:18" s="30" customFormat="1" ht="26.25">
      <c r="A283" s="60"/>
      <c r="B283" s="89" t="s">
        <v>69</v>
      </c>
      <c r="C283" s="59">
        <f t="shared" ref="C283:P283" si="37">SUM(C281:C282)</f>
        <v>165</v>
      </c>
      <c r="D283" s="59">
        <f t="shared" si="37"/>
        <v>37.5</v>
      </c>
      <c r="E283" s="59">
        <f t="shared" si="37"/>
        <v>127.5</v>
      </c>
      <c r="F283" s="59">
        <f t="shared" si="37"/>
        <v>2.3250000000000002</v>
      </c>
      <c r="G283" s="59">
        <f t="shared" si="37"/>
        <v>12.824999999999999</v>
      </c>
      <c r="H283" s="59">
        <f t="shared" si="37"/>
        <v>18.457500000000003</v>
      </c>
      <c r="I283" s="59">
        <f t="shared" si="37"/>
        <v>202.2</v>
      </c>
      <c r="J283" s="59">
        <f t="shared" si="37"/>
        <v>0.13499999999999998</v>
      </c>
      <c r="K283" s="59">
        <f t="shared" si="37"/>
        <v>22.5</v>
      </c>
      <c r="L283" s="59">
        <f t="shared" si="37"/>
        <v>8.8499999999999995E-2</v>
      </c>
      <c r="M283" s="59">
        <f t="shared" si="37"/>
        <v>13.05</v>
      </c>
      <c r="N283" s="59">
        <f t="shared" si="37"/>
        <v>68.099999999999994</v>
      </c>
      <c r="O283" s="59">
        <f t="shared" si="37"/>
        <v>25.934999999999999</v>
      </c>
      <c r="P283" s="59">
        <f t="shared" si="37"/>
        <v>1.0425000000000002</v>
      </c>
      <c r="Q283" s="59"/>
      <c r="R283" s="59">
        <f>SUM(R281:R282)</f>
        <v>15.749999999999998</v>
      </c>
    </row>
    <row r="284" spans="1:18" s="30" customFormat="1" ht="26.25">
      <c r="A284" s="61"/>
      <c r="B284" s="62" t="s">
        <v>104</v>
      </c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4"/>
    </row>
    <row r="285" spans="1:18" s="30" customFormat="1" ht="26.25">
      <c r="A285" s="61"/>
      <c r="B285" s="59" t="s">
        <v>69</v>
      </c>
      <c r="C285" s="59">
        <v>50</v>
      </c>
      <c r="D285" s="59">
        <v>0</v>
      </c>
      <c r="E285" s="59">
        <v>50</v>
      </c>
      <c r="F285" s="59">
        <f>E285*7.9%</f>
        <v>3.95</v>
      </c>
      <c r="G285" s="59">
        <f>E285*1%</f>
        <v>0.5</v>
      </c>
      <c r="H285" s="59">
        <f>E285*48.1%</f>
        <v>24.05</v>
      </c>
      <c r="I285" s="59">
        <f>E285*239%</f>
        <v>119.5</v>
      </c>
      <c r="J285" s="59">
        <f>E285*0.16%</f>
        <v>0.08</v>
      </c>
      <c r="K285" s="59">
        <v>0</v>
      </c>
      <c r="L285" s="59">
        <v>0</v>
      </c>
      <c r="M285" s="59">
        <f>E285*23%</f>
        <v>11.5</v>
      </c>
      <c r="N285" s="59">
        <f>E285*87%</f>
        <v>43.5</v>
      </c>
      <c r="O285" s="59">
        <f>E285*33%</f>
        <v>16.5</v>
      </c>
      <c r="P285" s="59">
        <f>E285*2%</f>
        <v>1</v>
      </c>
      <c r="Q285" s="59">
        <v>50</v>
      </c>
      <c r="R285" s="59">
        <f>C285/1000*50</f>
        <v>2.5</v>
      </c>
    </row>
    <row r="286" spans="1:18" s="30" customFormat="1" ht="26.25">
      <c r="A286" s="61"/>
      <c r="B286" s="62" t="s">
        <v>110</v>
      </c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4"/>
    </row>
    <row r="287" spans="1:18" s="30" customFormat="1" ht="26.25">
      <c r="A287" s="61"/>
      <c r="B287" s="57" t="s">
        <v>67</v>
      </c>
      <c r="C287" s="57">
        <v>15</v>
      </c>
      <c r="D287" s="57">
        <v>0</v>
      </c>
      <c r="E287" s="57">
        <v>15</v>
      </c>
      <c r="F287" s="57">
        <f>E287*5.2%</f>
        <v>0.78</v>
      </c>
      <c r="G287" s="57">
        <v>0</v>
      </c>
      <c r="H287" s="57">
        <f>E287*55%</f>
        <v>8.25</v>
      </c>
      <c r="I287" s="57">
        <f>E287*234%</f>
        <v>35.099999999999994</v>
      </c>
      <c r="J287" s="57">
        <f>E287*0.1%</f>
        <v>1.4999999999999999E-2</v>
      </c>
      <c r="K287" s="57">
        <f>E287*4%</f>
        <v>0.6</v>
      </c>
      <c r="L287" s="57">
        <v>0</v>
      </c>
      <c r="M287" s="57">
        <f>E287*160%</f>
        <v>24</v>
      </c>
      <c r="N287" s="57">
        <f>E287*146%</f>
        <v>21.9</v>
      </c>
      <c r="O287" s="57">
        <f>E287*105%</f>
        <v>15.75</v>
      </c>
      <c r="P287" s="57">
        <f>E287*3.2%</f>
        <v>0.48</v>
      </c>
      <c r="Q287" s="57">
        <v>350</v>
      </c>
      <c r="R287" s="57">
        <f>C287/1000*350</f>
        <v>5.25</v>
      </c>
    </row>
    <row r="288" spans="1:18" s="30" customFormat="1" ht="26.25">
      <c r="A288" s="61"/>
      <c r="B288" s="57" t="s">
        <v>68</v>
      </c>
      <c r="C288" s="57">
        <v>10</v>
      </c>
      <c r="D288" s="57">
        <v>0</v>
      </c>
      <c r="E288" s="57">
        <v>10</v>
      </c>
      <c r="F288" s="57">
        <v>0</v>
      </c>
      <c r="G288" s="57">
        <v>0</v>
      </c>
      <c r="H288" s="57">
        <f>E288*99.8%</f>
        <v>9.98</v>
      </c>
      <c r="I288" s="57">
        <f>E288*379%</f>
        <v>37.9</v>
      </c>
      <c r="J288" s="57">
        <v>0</v>
      </c>
      <c r="K288" s="57">
        <v>0</v>
      </c>
      <c r="L288" s="57">
        <v>0</v>
      </c>
      <c r="M288" s="57">
        <f>E288*2%</f>
        <v>0.2</v>
      </c>
      <c r="N288" s="57">
        <v>0</v>
      </c>
      <c r="O288" s="57">
        <v>0</v>
      </c>
      <c r="P288" s="57">
        <f>E288*0.3%</f>
        <v>0.03</v>
      </c>
      <c r="Q288" s="57">
        <v>60</v>
      </c>
      <c r="R288" s="57">
        <f>C288/1000*60</f>
        <v>0.6</v>
      </c>
    </row>
    <row r="289" spans="1:18" s="30" customFormat="1" ht="26.25">
      <c r="A289" s="61"/>
      <c r="B289" s="59" t="s">
        <v>69</v>
      </c>
      <c r="C289" s="59">
        <v>25</v>
      </c>
      <c r="D289" s="59">
        <f t="shared" ref="D289" si="38">SUM(D287:D288)</f>
        <v>0</v>
      </c>
      <c r="E289" s="59">
        <v>150</v>
      </c>
      <c r="F289" s="59">
        <f t="shared" ref="F289:P289" si="39">SUM(F287:F288)</f>
        <v>0.78</v>
      </c>
      <c r="G289" s="59">
        <f t="shared" si="39"/>
        <v>0</v>
      </c>
      <c r="H289" s="59">
        <f t="shared" si="39"/>
        <v>18.23</v>
      </c>
      <c r="I289" s="59">
        <f t="shared" si="39"/>
        <v>73</v>
      </c>
      <c r="J289" s="59">
        <f t="shared" si="39"/>
        <v>1.4999999999999999E-2</v>
      </c>
      <c r="K289" s="59">
        <f t="shared" si="39"/>
        <v>0.6</v>
      </c>
      <c r="L289" s="59">
        <f t="shared" si="39"/>
        <v>0</v>
      </c>
      <c r="M289" s="59">
        <f t="shared" si="39"/>
        <v>24.2</v>
      </c>
      <c r="N289" s="59">
        <f t="shared" si="39"/>
        <v>21.9</v>
      </c>
      <c r="O289" s="59">
        <f t="shared" si="39"/>
        <v>15.75</v>
      </c>
      <c r="P289" s="59">
        <f t="shared" si="39"/>
        <v>0.51</v>
      </c>
      <c r="Q289" s="59"/>
      <c r="R289" s="59">
        <f>SUM(R287:R288)</f>
        <v>5.85</v>
      </c>
    </row>
    <row r="290" spans="1:18" s="30" customFormat="1" ht="22.5" customHeight="1">
      <c r="A290" s="61"/>
      <c r="B290" s="62" t="s">
        <v>138</v>
      </c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4"/>
    </row>
    <row r="291" spans="1:18" s="30" customFormat="1" ht="26.25">
      <c r="A291" s="61"/>
      <c r="B291" s="59" t="s">
        <v>69</v>
      </c>
      <c r="C291" s="59">
        <v>125</v>
      </c>
      <c r="D291" s="59">
        <v>0</v>
      </c>
      <c r="E291" s="59">
        <f>C291-D291</f>
        <v>125</v>
      </c>
      <c r="F291" s="59">
        <f>E291*0.6%</f>
        <v>0.75</v>
      </c>
      <c r="G291" s="59">
        <f>E291*0.2%</f>
        <v>0.25</v>
      </c>
      <c r="H291" s="59">
        <f>E291*15%</f>
        <v>18.75</v>
      </c>
      <c r="I291" s="59">
        <f>E291*65%</f>
        <v>81.25</v>
      </c>
      <c r="J291" s="59">
        <f>E291*0.05%</f>
        <v>6.25E-2</v>
      </c>
      <c r="K291" s="59">
        <f>E291*6%</f>
        <v>7.5</v>
      </c>
      <c r="L291" s="59">
        <v>0</v>
      </c>
      <c r="M291" s="59">
        <f>E291*45%</f>
        <v>56.25</v>
      </c>
      <c r="N291" s="59">
        <f>E291*22%</f>
        <v>27.5</v>
      </c>
      <c r="O291" s="59">
        <f>E291*17%</f>
        <v>21.25</v>
      </c>
      <c r="P291" s="59">
        <f>E291*0.6%</f>
        <v>0.75</v>
      </c>
      <c r="Q291" s="59">
        <v>60</v>
      </c>
      <c r="R291" s="59">
        <f>C291/1000*60</f>
        <v>7.5</v>
      </c>
    </row>
    <row r="292" spans="1:18" s="30" customFormat="1" ht="26.25">
      <c r="A292" s="60"/>
      <c r="B292" s="66" t="s">
        <v>106</v>
      </c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8"/>
    </row>
    <row r="293" spans="1:18" s="30" customFormat="1" ht="26.25">
      <c r="A293" s="60"/>
      <c r="B293" s="59" t="s">
        <v>69</v>
      </c>
      <c r="C293" s="69">
        <v>3</v>
      </c>
      <c r="D293" s="59">
        <v>0</v>
      </c>
      <c r="E293" s="69">
        <f>C293-D293</f>
        <v>3</v>
      </c>
      <c r="F293" s="59">
        <v>0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59">
        <v>0</v>
      </c>
      <c r="N293" s="59">
        <v>0</v>
      </c>
      <c r="O293" s="59">
        <v>0</v>
      </c>
      <c r="P293" s="59">
        <v>0</v>
      </c>
      <c r="Q293" s="59">
        <v>20</v>
      </c>
      <c r="R293" s="69">
        <f>C293/1000*20</f>
        <v>0.06</v>
      </c>
    </row>
    <row r="294" spans="1:18" s="30" customFormat="1" ht="26.25">
      <c r="A294" s="60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</row>
    <row r="295" spans="1:18" s="30" customFormat="1" ht="26.25">
      <c r="A295" s="60"/>
      <c r="B295" s="59" t="s">
        <v>69</v>
      </c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>
        <f>R293+R291+R289+R285+R283+R279</f>
        <v>61.01</v>
      </c>
    </row>
    <row r="296" spans="1:18" s="167" customFormat="1" ht="70.5" customHeight="1"/>
    <row r="297" spans="1:18" s="30" customFormat="1" ht="33" customHeight="1">
      <c r="A297" s="198"/>
      <c r="B297" s="73" t="s">
        <v>0</v>
      </c>
      <c r="C297" s="199" t="s">
        <v>92</v>
      </c>
      <c r="D297" s="75" t="s">
        <v>20</v>
      </c>
      <c r="E297" s="75" t="s">
        <v>19</v>
      </c>
      <c r="F297" s="35" t="s">
        <v>1</v>
      </c>
      <c r="G297" s="35" t="s">
        <v>2</v>
      </c>
      <c r="H297" s="35" t="s">
        <v>3</v>
      </c>
      <c r="I297" s="35" t="s">
        <v>4</v>
      </c>
      <c r="J297" s="76" t="s">
        <v>5</v>
      </c>
      <c r="K297" s="76"/>
      <c r="L297" s="76"/>
      <c r="M297" s="76" t="s">
        <v>6</v>
      </c>
      <c r="N297" s="76"/>
      <c r="O297" s="76"/>
      <c r="P297" s="76"/>
      <c r="Q297" s="35" t="s">
        <v>66</v>
      </c>
      <c r="R297" s="200" t="s">
        <v>115</v>
      </c>
    </row>
    <row r="298" spans="1:18" s="30" customFormat="1" ht="24" customHeight="1">
      <c r="A298" s="198"/>
      <c r="B298" s="73"/>
      <c r="C298" s="78" t="s">
        <v>18</v>
      </c>
      <c r="D298" s="79"/>
      <c r="E298" s="79"/>
      <c r="F298" s="44"/>
      <c r="G298" s="44"/>
      <c r="H298" s="44"/>
      <c r="I298" s="44"/>
      <c r="J298" s="35" t="s">
        <v>7</v>
      </c>
      <c r="K298" s="34" t="s">
        <v>8</v>
      </c>
      <c r="L298" s="35" t="s">
        <v>9</v>
      </c>
      <c r="M298" s="35" t="s">
        <v>10</v>
      </c>
      <c r="N298" s="35" t="s">
        <v>11</v>
      </c>
      <c r="O298" s="35" t="s">
        <v>12</v>
      </c>
      <c r="P298" s="35" t="s">
        <v>13</v>
      </c>
      <c r="Q298" s="44"/>
      <c r="R298" s="201"/>
    </row>
    <row r="299" spans="1:18" s="30" customFormat="1" ht="24" customHeight="1">
      <c r="A299" s="198"/>
      <c r="B299" s="81" t="s">
        <v>91</v>
      </c>
      <c r="C299" s="202"/>
      <c r="D299" s="83"/>
      <c r="E299" s="83"/>
      <c r="F299" s="50"/>
      <c r="G299" s="50"/>
      <c r="H299" s="50"/>
      <c r="I299" s="50"/>
      <c r="J299" s="50"/>
      <c r="K299" s="49"/>
      <c r="L299" s="50"/>
      <c r="M299" s="50"/>
      <c r="N299" s="50"/>
      <c r="O299" s="50"/>
      <c r="P299" s="50"/>
      <c r="Q299" s="50"/>
      <c r="R299" s="203"/>
    </row>
    <row r="300" spans="1:18" s="65" customFormat="1" ht="19.5" customHeight="1">
      <c r="A300" s="204" t="s">
        <v>95</v>
      </c>
      <c r="B300" s="205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6"/>
    </row>
    <row r="301" spans="1:18" s="210" customFormat="1" ht="22.5" customHeight="1">
      <c r="A301" s="207"/>
      <c r="B301" s="208" t="s">
        <v>15</v>
      </c>
      <c r="C301" s="209">
        <v>15</v>
      </c>
      <c r="D301" s="209">
        <f>C301*0.2</f>
        <v>3</v>
      </c>
      <c r="E301" s="209">
        <f>C301-D301</f>
        <v>12</v>
      </c>
      <c r="F301" s="209">
        <f>E301*1.3%</f>
        <v>0.15600000000000003</v>
      </c>
      <c r="G301" s="209">
        <f>E301*0.001</f>
        <v>1.2E-2</v>
      </c>
      <c r="H301" s="209">
        <f>E301*0.072</f>
        <v>0.86399999999999988</v>
      </c>
      <c r="I301" s="209">
        <f>E301*0.3</f>
        <v>3.5999999999999996</v>
      </c>
      <c r="J301" s="209">
        <f>E301*0.06%</f>
        <v>7.1999999999999998E-3</v>
      </c>
      <c r="K301" s="209">
        <f>E301*5%</f>
        <v>0.60000000000000009</v>
      </c>
      <c r="L301" s="209">
        <v>0</v>
      </c>
      <c r="M301" s="209">
        <f>E301*51%</f>
        <v>6.12</v>
      </c>
      <c r="N301" s="209">
        <f>E301*55%</f>
        <v>6.6000000000000005</v>
      </c>
      <c r="O301" s="209">
        <f>E301*38%</f>
        <v>4.5600000000000005</v>
      </c>
      <c r="P301" s="209">
        <f>E301*0.7%</f>
        <v>8.3999999999999991E-2</v>
      </c>
      <c r="Q301" s="209">
        <v>60</v>
      </c>
      <c r="R301" s="209">
        <f>C301/1000*60</f>
        <v>0.89999999999999991</v>
      </c>
    </row>
    <row r="302" spans="1:18" s="213" customFormat="1" ht="19.5" customHeight="1">
      <c r="A302" s="211"/>
      <c r="B302" s="212" t="s">
        <v>77</v>
      </c>
      <c r="C302" s="146">
        <v>10</v>
      </c>
      <c r="D302" s="146">
        <v>0</v>
      </c>
      <c r="E302" s="146">
        <f>C302-D302</f>
        <v>10</v>
      </c>
      <c r="F302" s="146">
        <v>0</v>
      </c>
      <c r="G302" s="146">
        <f>E302*0.999</f>
        <v>9.99</v>
      </c>
      <c r="H302" s="146">
        <v>0</v>
      </c>
      <c r="I302" s="146">
        <f>E302*8.99</f>
        <v>89.9</v>
      </c>
      <c r="J302" s="146">
        <f>E302*0.06%</f>
        <v>5.9999999999999993E-3</v>
      </c>
      <c r="K302" s="146">
        <v>0</v>
      </c>
      <c r="L302" s="146">
        <v>0</v>
      </c>
      <c r="M302" s="146">
        <v>0</v>
      </c>
      <c r="N302" s="146">
        <v>0</v>
      </c>
      <c r="O302" s="146">
        <v>0</v>
      </c>
      <c r="P302" s="146">
        <v>0</v>
      </c>
      <c r="Q302" s="146">
        <v>180</v>
      </c>
      <c r="R302" s="146">
        <f>C302/1000*180</f>
        <v>1.8</v>
      </c>
    </row>
    <row r="303" spans="1:18" s="210" customFormat="1" ht="22.5" customHeight="1">
      <c r="A303" s="211"/>
      <c r="B303" s="208" t="s">
        <v>16</v>
      </c>
      <c r="C303" s="209">
        <v>30</v>
      </c>
      <c r="D303" s="209">
        <f>C303*0.2</f>
        <v>6</v>
      </c>
      <c r="E303" s="209">
        <f>C303-D303</f>
        <v>24</v>
      </c>
      <c r="F303" s="209">
        <f>E303*0.018</f>
        <v>0.43199999999999994</v>
      </c>
      <c r="G303" s="209">
        <f>E303*0.001</f>
        <v>2.4E-2</v>
      </c>
      <c r="H303" s="209">
        <f>E303*0.047</f>
        <v>1.1280000000000001</v>
      </c>
      <c r="I303" s="209">
        <f>E303*0.27</f>
        <v>6.48</v>
      </c>
      <c r="J303" s="209">
        <f>E303*0.03%</f>
        <v>7.1999999999999998E-3</v>
      </c>
      <c r="K303" s="209">
        <f>E303*45%</f>
        <v>10.8</v>
      </c>
      <c r="L303" s="209">
        <v>0</v>
      </c>
      <c r="M303" s="209">
        <f>E303*48%</f>
        <v>11.52</v>
      </c>
      <c r="N303" s="209">
        <f>E303*31%</f>
        <v>7.4399999999999995</v>
      </c>
      <c r="O303" s="209">
        <f>E303*16%</f>
        <v>3.84</v>
      </c>
      <c r="P303" s="209">
        <f>E303*0.6%</f>
        <v>0.14400000000000002</v>
      </c>
      <c r="Q303" s="209">
        <v>50</v>
      </c>
      <c r="R303" s="209">
        <f>C303/1000*50</f>
        <v>1.5</v>
      </c>
    </row>
    <row r="304" spans="1:18" s="210" customFormat="1" ht="22.5" customHeight="1">
      <c r="A304" s="211"/>
      <c r="B304" s="208" t="s">
        <v>17</v>
      </c>
      <c r="C304" s="209">
        <v>5</v>
      </c>
      <c r="D304" s="209">
        <v>0</v>
      </c>
      <c r="E304" s="209">
        <f>C304-D304</f>
        <v>5</v>
      </c>
      <c r="F304" s="209">
        <v>0</v>
      </c>
      <c r="G304" s="209">
        <f>E304*0.999</f>
        <v>4.9950000000000001</v>
      </c>
      <c r="H304" s="209">
        <v>0</v>
      </c>
      <c r="I304" s="209">
        <f>E304*8.99%</f>
        <v>0.44950000000000001</v>
      </c>
      <c r="J304" s="209">
        <f>E304*0.06%</f>
        <v>2.9999999999999996E-3</v>
      </c>
      <c r="K304" s="209">
        <v>0</v>
      </c>
      <c r="L304" s="209">
        <v>0</v>
      </c>
      <c r="M304" s="209">
        <v>0</v>
      </c>
      <c r="N304" s="209">
        <v>0</v>
      </c>
      <c r="O304" s="209">
        <v>0</v>
      </c>
      <c r="P304" s="209">
        <v>0</v>
      </c>
      <c r="Q304" s="209">
        <v>150</v>
      </c>
      <c r="R304" s="209">
        <f>C304/1000*150</f>
        <v>0.75</v>
      </c>
    </row>
    <row r="305" spans="1:18" s="217" customFormat="1" ht="22.5" customHeight="1">
      <c r="A305" s="214"/>
      <c r="B305" s="215" t="s">
        <v>69</v>
      </c>
      <c r="C305" s="216">
        <f>SUM(C301:C304)</f>
        <v>60</v>
      </c>
      <c r="D305" s="216">
        <f t="shared" ref="D305:P305" si="40">SUM(D301:D304)</f>
        <v>9</v>
      </c>
      <c r="E305" s="216">
        <f t="shared" si="40"/>
        <v>51</v>
      </c>
      <c r="F305" s="216">
        <f t="shared" si="40"/>
        <v>0.58799999999999997</v>
      </c>
      <c r="G305" s="216">
        <f t="shared" si="40"/>
        <v>15.021000000000001</v>
      </c>
      <c r="H305" s="216">
        <f t="shared" si="40"/>
        <v>1.992</v>
      </c>
      <c r="I305" s="216">
        <f t="shared" si="40"/>
        <v>100.4295</v>
      </c>
      <c r="J305" s="216">
        <f t="shared" si="40"/>
        <v>2.3400000000000001E-2</v>
      </c>
      <c r="K305" s="216">
        <f t="shared" si="40"/>
        <v>11.4</v>
      </c>
      <c r="L305" s="216">
        <f t="shared" si="40"/>
        <v>0</v>
      </c>
      <c r="M305" s="216">
        <f t="shared" si="40"/>
        <v>17.64</v>
      </c>
      <c r="N305" s="216">
        <f t="shared" si="40"/>
        <v>14.04</v>
      </c>
      <c r="O305" s="216">
        <f t="shared" si="40"/>
        <v>8.4</v>
      </c>
      <c r="P305" s="216">
        <f t="shared" si="40"/>
        <v>0.22800000000000001</v>
      </c>
      <c r="Q305" s="216"/>
      <c r="R305" s="216">
        <f>SUM(R301:R304)</f>
        <v>4.95</v>
      </c>
    </row>
    <row r="306" spans="1:18" s="65" customFormat="1" ht="26.25">
      <c r="A306" s="218"/>
      <c r="B306" s="53" t="s">
        <v>119</v>
      </c>
      <c r="C306" s="219"/>
      <c r="D306" s="219"/>
      <c r="E306" s="219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20"/>
    </row>
    <row r="307" spans="1:18" s="147" customFormat="1" ht="22.5" customHeight="1">
      <c r="A307" s="144"/>
      <c r="B307" s="145" t="s">
        <v>122</v>
      </c>
      <c r="C307" s="146">
        <v>60</v>
      </c>
      <c r="D307" s="146">
        <f>C307*26.4%</f>
        <v>15.84</v>
      </c>
      <c r="E307" s="146">
        <f>SUM(C307-D307)</f>
        <v>44.16</v>
      </c>
      <c r="F307" s="146">
        <f>E307*18.6%</f>
        <v>8.2137600000000006</v>
      </c>
      <c r="G307" s="146">
        <f>E307*16%</f>
        <v>7.0655999999999999</v>
      </c>
      <c r="H307" s="146">
        <v>0</v>
      </c>
      <c r="I307" s="146">
        <f>E307*218%</f>
        <v>96.268799999999999</v>
      </c>
      <c r="J307" s="146">
        <f>E307*0.06%</f>
        <v>2.6495999999999995E-2</v>
      </c>
      <c r="K307" s="146">
        <v>0</v>
      </c>
      <c r="L307" s="146">
        <v>0</v>
      </c>
      <c r="M307" s="146">
        <f>E307*9%</f>
        <v>3.9743999999999997</v>
      </c>
      <c r="N307" s="146">
        <f>E307*188%</f>
        <v>83.020799999999994</v>
      </c>
      <c r="O307" s="146">
        <f>E307*22%</f>
        <v>9.7151999999999994</v>
      </c>
      <c r="P307" s="146">
        <f>E307*2.7%</f>
        <v>1.19232</v>
      </c>
      <c r="Q307" s="146">
        <v>475</v>
      </c>
      <c r="R307" s="146">
        <f>C307/1000*475</f>
        <v>28.5</v>
      </c>
    </row>
    <row r="308" spans="1:18" s="222" customFormat="1" ht="22.5" customHeight="1">
      <c r="A308" s="148"/>
      <c r="B308" s="221" t="s">
        <v>72</v>
      </c>
      <c r="C308" s="209">
        <v>42</v>
      </c>
      <c r="D308" s="209">
        <f>C308*0.25</f>
        <v>10.5</v>
      </c>
      <c r="E308" s="209">
        <f>C308-D308</f>
        <v>31.5</v>
      </c>
      <c r="F308" s="209">
        <f>E308*2%</f>
        <v>0.63</v>
      </c>
      <c r="G308" s="209">
        <f>E308*0.4%</f>
        <v>0.126</v>
      </c>
      <c r="H308" s="209">
        <f>E308*16.3%</f>
        <v>5.1345000000000001</v>
      </c>
      <c r="I308" s="209">
        <f>E308*80%</f>
        <v>25.200000000000003</v>
      </c>
      <c r="J308" s="209">
        <f>E308*0.12%</f>
        <v>3.7799999999999993E-2</v>
      </c>
      <c r="K308" s="209">
        <f>E308*20%</f>
        <v>6.3000000000000007</v>
      </c>
      <c r="L308" s="209">
        <v>0</v>
      </c>
      <c r="M308" s="209">
        <f>E308*10%</f>
        <v>3.1500000000000004</v>
      </c>
      <c r="N308" s="209">
        <f>E308*58%</f>
        <v>18.27</v>
      </c>
      <c r="O308" s="209">
        <f>E308*23%</f>
        <v>7.2450000000000001</v>
      </c>
      <c r="P308" s="209">
        <f>E308*0.9%</f>
        <v>0.28350000000000003</v>
      </c>
      <c r="Q308" s="209">
        <v>57</v>
      </c>
      <c r="R308" s="209">
        <f>C308/1000*57</f>
        <v>2.3940000000000001</v>
      </c>
    </row>
    <row r="309" spans="1:18" s="222" customFormat="1" ht="26.25">
      <c r="A309" s="148"/>
      <c r="B309" s="221" t="s">
        <v>15</v>
      </c>
      <c r="C309" s="209">
        <v>14</v>
      </c>
      <c r="D309" s="209">
        <f>C309*0.2</f>
        <v>2.8000000000000003</v>
      </c>
      <c r="E309" s="209">
        <f>C309-D309</f>
        <v>11.2</v>
      </c>
      <c r="F309" s="209">
        <f>E309*1.3%</f>
        <v>0.14560000000000001</v>
      </c>
      <c r="G309" s="223">
        <f>E309*0.001</f>
        <v>1.12E-2</v>
      </c>
      <c r="H309" s="209">
        <f>E309*0.072</f>
        <v>0.80639999999999989</v>
      </c>
      <c r="I309" s="209">
        <f>E309*0.3</f>
        <v>3.36</v>
      </c>
      <c r="J309" s="209">
        <f>E309*0.06%</f>
        <v>6.7199999999999994E-3</v>
      </c>
      <c r="K309" s="209">
        <f>E309*5%</f>
        <v>0.55999999999999994</v>
      </c>
      <c r="L309" s="209">
        <v>0</v>
      </c>
      <c r="M309" s="209">
        <f>E309*51%</f>
        <v>5.7119999999999997</v>
      </c>
      <c r="N309" s="209">
        <f>E309*55%</f>
        <v>6.16</v>
      </c>
      <c r="O309" s="209">
        <f>E309*38%</f>
        <v>4.2559999999999993</v>
      </c>
      <c r="P309" s="209">
        <f>E309*0.7%</f>
        <v>7.8399999999999984E-2</v>
      </c>
      <c r="Q309" s="209">
        <v>60</v>
      </c>
      <c r="R309" s="221">
        <f>C309/1000*60</f>
        <v>0.84</v>
      </c>
    </row>
    <row r="310" spans="1:18" s="222" customFormat="1" ht="26.25">
      <c r="A310" s="148"/>
      <c r="B310" s="221" t="s">
        <v>73</v>
      </c>
      <c r="C310" s="209">
        <v>17</v>
      </c>
      <c r="D310" s="209">
        <f>C310*0.16</f>
        <v>2.72</v>
      </c>
      <c r="E310" s="209">
        <f>C310-D310</f>
        <v>14.28</v>
      </c>
      <c r="F310" s="209">
        <f>E310*1.4%</f>
        <v>0.19991999999999996</v>
      </c>
      <c r="G310" s="222">
        <v>0</v>
      </c>
      <c r="H310" s="209">
        <f>E310*9.1%</f>
        <v>1.29948</v>
      </c>
      <c r="I310" s="209">
        <f>E310*41%</f>
        <v>5.8547999999999991</v>
      </c>
      <c r="J310" s="209">
        <f>E310*0.05%</f>
        <v>7.1399999999999996E-3</v>
      </c>
      <c r="K310" s="209">
        <f>E310*10%</f>
        <v>1.4279999999999999</v>
      </c>
      <c r="L310" s="209">
        <v>0</v>
      </c>
      <c r="M310" s="209">
        <f>E310*31%</f>
        <v>4.4268000000000001</v>
      </c>
      <c r="N310" s="209">
        <f>E310*58%</f>
        <v>8.2823999999999991</v>
      </c>
      <c r="O310" s="209">
        <f>E310*14%</f>
        <v>1.9992000000000001</v>
      </c>
      <c r="P310" s="209">
        <f>E310*0.8%</f>
        <v>0.11423999999999999</v>
      </c>
      <c r="Q310" s="209">
        <v>40</v>
      </c>
      <c r="R310" s="209">
        <f>C310/1000*40</f>
        <v>0.68</v>
      </c>
    </row>
    <row r="311" spans="1:18" s="222" customFormat="1" ht="26.25">
      <c r="A311" s="144"/>
      <c r="B311" s="221" t="s">
        <v>22</v>
      </c>
      <c r="C311" s="209">
        <v>10</v>
      </c>
      <c r="D311" s="209">
        <v>0</v>
      </c>
      <c r="E311" s="209">
        <f>C311-D311</f>
        <v>10</v>
      </c>
      <c r="F311" s="209">
        <f>E311*0.5%</f>
        <v>0.05</v>
      </c>
      <c r="G311" s="209">
        <f>E311*82.5%</f>
        <v>8.25</v>
      </c>
      <c r="H311" s="209">
        <f>E311*0.8%</f>
        <v>0.08</v>
      </c>
      <c r="I311" s="209">
        <f>E311*748%</f>
        <v>74.800000000000011</v>
      </c>
      <c r="J311" s="209">
        <v>0</v>
      </c>
      <c r="K311" s="209">
        <v>0</v>
      </c>
      <c r="L311" s="209">
        <f>E311*0.59%</f>
        <v>5.8999999999999997E-2</v>
      </c>
      <c r="M311" s="209">
        <f>E311*12%</f>
        <v>1.2</v>
      </c>
      <c r="N311" s="209">
        <f>E311*19%</f>
        <v>1.9</v>
      </c>
      <c r="O311" s="209">
        <f>E311*0.4%</f>
        <v>0.04</v>
      </c>
      <c r="P311" s="209">
        <f>E311*0.2%</f>
        <v>0.02</v>
      </c>
      <c r="Q311" s="209">
        <v>480</v>
      </c>
      <c r="R311" s="149">
        <f>C311/1000*480</f>
        <v>4.8</v>
      </c>
    </row>
    <row r="312" spans="1:18" s="222" customFormat="1" ht="26.25">
      <c r="A312" s="144"/>
      <c r="B312" s="209" t="s">
        <v>26</v>
      </c>
      <c r="C312" s="209">
        <v>3</v>
      </c>
      <c r="D312" s="209">
        <v>0</v>
      </c>
      <c r="E312" s="209">
        <f>SUM(C312:D312)</f>
        <v>3</v>
      </c>
      <c r="F312" s="209">
        <f>E312*1%</f>
        <v>0.03</v>
      </c>
      <c r="G312" s="209">
        <v>0</v>
      </c>
      <c r="H312" s="209">
        <f>E312*3.5%</f>
        <v>0.10500000000000001</v>
      </c>
      <c r="I312" s="209">
        <f>E312*19%</f>
        <v>0.57000000000000006</v>
      </c>
      <c r="J312" s="209">
        <f>E312*0.03%</f>
        <v>8.9999999999999998E-4</v>
      </c>
      <c r="K312" s="209">
        <f>E312*10%</f>
        <v>0.30000000000000004</v>
      </c>
      <c r="L312" s="209">
        <v>0</v>
      </c>
      <c r="M312" s="209">
        <f>C312*7%</f>
        <v>0.21000000000000002</v>
      </c>
      <c r="N312" s="209">
        <f>E312*32%</f>
        <v>0.96</v>
      </c>
      <c r="O312" s="209">
        <f>E312*12%</f>
        <v>0.36</v>
      </c>
      <c r="P312" s="209">
        <f>E312*0.7%</f>
        <v>2.0999999999999998E-2</v>
      </c>
      <c r="Q312" s="209">
        <v>150</v>
      </c>
      <c r="R312" s="209">
        <f>C312/1000*150</f>
        <v>0.45</v>
      </c>
    </row>
    <row r="313" spans="1:18" s="222" customFormat="1" ht="26.25">
      <c r="A313" s="148"/>
      <c r="B313" s="221" t="s">
        <v>78</v>
      </c>
      <c r="C313" s="209">
        <v>40</v>
      </c>
      <c r="D313" s="209">
        <v>0</v>
      </c>
      <c r="E313" s="209">
        <f>C313-D313</f>
        <v>40</v>
      </c>
      <c r="F313" s="209">
        <f>E313*23%</f>
        <v>9.2000000000000011</v>
      </c>
      <c r="G313" s="209">
        <f>E313*1.6%</f>
        <v>0.64</v>
      </c>
      <c r="H313" s="209">
        <f>E313*50.8%</f>
        <v>20.32</v>
      </c>
      <c r="I313" s="209">
        <f>E313*314%</f>
        <v>125.60000000000001</v>
      </c>
      <c r="J313" s="209">
        <f>E313*0.9%</f>
        <v>0.36000000000000004</v>
      </c>
      <c r="K313" s="209">
        <v>0</v>
      </c>
      <c r="L313" s="209">
        <v>0</v>
      </c>
      <c r="M313" s="209">
        <f>E313*89%</f>
        <v>35.6</v>
      </c>
      <c r="N313" s="209">
        <f>E313*226%</f>
        <v>90.399999999999991</v>
      </c>
      <c r="O313" s="209">
        <f>E313*88%</f>
        <v>35.200000000000003</v>
      </c>
      <c r="P313" s="209">
        <f>E313*7%</f>
        <v>2.8000000000000003</v>
      </c>
      <c r="Q313" s="209">
        <v>60</v>
      </c>
      <c r="R313" s="149">
        <f>C313/1000*60</f>
        <v>2.4</v>
      </c>
    </row>
    <row r="314" spans="1:18" s="227" customFormat="1" ht="26.25">
      <c r="A314" s="224"/>
      <c r="B314" s="225" t="s">
        <v>69</v>
      </c>
      <c r="C314" s="226">
        <f>C313+C311+C310+C309+C308</f>
        <v>123</v>
      </c>
      <c r="D314" s="226">
        <f t="shared" ref="D314:P314" si="41">SUM(D308:D313)</f>
        <v>16.02</v>
      </c>
      <c r="E314" s="226">
        <v>250</v>
      </c>
      <c r="F314" s="226">
        <f t="shared" si="41"/>
        <v>10.255520000000001</v>
      </c>
      <c r="G314" s="226">
        <f t="shared" si="41"/>
        <v>9.0272000000000006</v>
      </c>
      <c r="H314" s="226">
        <f t="shared" si="41"/>
        <v>27.745380000000001</v>
      </c>
      <c r="I314" s="226">
        <f t="shared" si="41"/>
        <v>235.38480000000001</v>
      </c>
      <c r="J314" s="226">
        <f t="shared" si="41"/>
        <v>0.41256000000000004</v>
      </c>
      <c r="K314" s="226">
        <f t="shared" si="41"/>
        <v>8.588000000000001</v>
      </c>
      <c r="L314" s="226">
        <f t="shared" si="41"/>
        <v>5.8999999999999997E-2</v>
      </c>
      <c r="M314" s="226">
        <f t="shared" si="41"/>
        <v>50.2988</v>
      </c>
      <c r="N314" s="226">
        <f t="shared" si="41"/>
        <v>125.97239999999999</v>
      </c>
      <c r="O314" s="226">
        <f t="shared" si="41"/>
        <v>49.100200000000001</v>
      </c>
      <c r="P314" s="226">
        <f t="shared" si="41"/>
        <v>3.3171400000000002</v>
      </c>
      <c r="Q314" s="226"/>
      <c r="R314" s="226">
        <f>SUM(R307:R313)</f>
        <v>40.064</v>
      </c>
    </row>
    <row r="315" spans="1:18" s="111" customFormat="1" ht="26.25">
      <c r="A315" s="61"/>
      <c r="B315" s="228" t="s">
        <v>104</v>
      </c>
      <c r="C315" s="229"/>
      <c r="D315" s="229"/>
      <c r="E315" s="229"/>
      <c r="F315" s="229"/>
      <c r="G315" s="229"/>
      <c r="H315" s="229"/>
      <c r="I315" s="229"/>
      <c r="J315" s="229"/>
      <c r="K315" s="229"/>
      <c r="L315" s="229"/>
      <c r="M315" s="229"/>
      <c r="N315" s="229"/>
      <c r="O315" s="229"/>
      <c r="P315" s="229"/>
      <c r="Q315" s="229"/>
      <c r="R315" s="230"/>
    </row>
    <row r="316" spans="1:18" s="111" customFormat="1" ht="26.25">
      <c r="A316" s="61"/>
      <c r="B316" s="59" t="s">
        <v>69</v>
      </c>
      <c r="C316" s="59">
        <v>50</v>
      </c>
      <c r="D316" s="59">
        <v>0</v>
      </c>
      <c r="E316" s="59">
        <f>C316-D316</f>
        <v>50</v>
      </c>
      <c r="F316" s="59">
        <f>E316*7.9%</f>
        <v>3.95</v>
      </c>
      <c r="G316" s="59">
        <f>E316*1%</f>
        <v>0.5</v>
      </c>
      <c r="H316" s="59">
        <f>E316*48.1%</f>
        <v>24.05</v>
      </c>
      <c r="I316" s="59">
        <f>E316*239%</f>
        <v>119.5</v>
      </c>
      <c r="J316" s="59">
        <f>E316*0.16%</f>
        <v>0.08</v>
      </c>
      <c r="K316" s="59">
        <v>0</v>
      </c>
      <c r="L316" s="59">
        <v>0</v>
      </c>
      <c r="M316" s="59">
        <f>E316*23%</f>
        <v>11.5</v>
      </c>
      <c r="N316" s="59">
        <f>E316*87%</f>
        <v>43.5</v>
      </c>
      <c r="O316" s="59">
        <f>E316*33%</f>
        <v>16.5</v>
      </c>
      <c r="P316" s="59">
        <f>E316*2%</f>
        <v>1</v>
      </c>
      <c r="Q316" s="59">
        <v>50</v>
      </c>
      <c r="R316" s="231">
        <f>C316/1000*50</f>
        <v>2.5</v>
      </c>
    </row>
    <row r="317" spans="1:18" s="65" customFormat="1" ht="26.25">
      <c r="A317" s="218"/>
      <c r="B317" s="62" t="s">
        <v>110</v>
      </c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4"/>
    </row>
    <row r="318" spans="1:18" s="111" customFormat="1" ht="26.25">
      <c r="A318" s="61"/>
      <c r="B318" s="232" t="s">
        <v>67</v>
      </c>
      <c r="C318" s="232">
        <v>15</v>
      </c>
      <c r="D318" s="232">
        <v>0</v>
      </c>
      <c r="E318" s="232">
        <v>15</v>
      </c>
      <c r="F318" s="232">
        <f>E318*5.2%</f>
        <v>0.78</v>
      </c>
      <c r="G318" s="232">
        <v>0</v>
      </c>
      <c r="H318" s="232">
        <f>E318*55%</f>
        <v>8.25</v>
      </c>
      <c r="I318" s="232">
        <f>E318*234%</f>
        <v>35.099999999999994</v>
      </c>
      <c r="J318" s="232">
        <f>E318*0.1%</f>
        <v>1.4999999999999999E-2</v>
      </c>
      <c r="K318" s="232">
        <f>E318*4%</f>
        <v>0.6</v>
      </c>
      <c r="L318" s="232">
        <v>0</v>
      </c>
      <c r="M318" s="232">
        <f>E318*160%</f>
        <v>24</v>
      </c>
      <c r="N318" s="232">
        <f>E318*146%</f>
        <v>21.9</v>
      </c>
      <c r="O318" s="232">
        <f>E318*105%</f>
        <v>15.75</v>
      </c>
      <c r="P318" s="232">
        <f>E318*3.2%</f>
        <v>0.48</v>
      </c>
      <c r="Q318" s="232">
        <v>350</v>
      </c>
      <c r="R318" s="232">
        <f>C318/1000*350</f>
        <v>5.25</v>
      </c>
    </row>
    <row r="319" spans="1:18" s="111" customFormat="1" ht="26.25">
      <c r="A319" s="61"/>
      <c r="B319" s="232" t="s">
        <v>68</v>
      </c>
      <c r="C319" s="232">
        <v>10</v>
      </c>
      <c r="D319" s="232">
        <v>0</v>
      </c>
      <c r="E319" s="232">
        <v>10</v>
      </c>
      <c r="F319" s="232">
        <v>0</v>
      </c>
      <c r="G319" s="232">
        <v>0</v>
      </c>
      <c r="H319" s="232">
        <f>E319*99.8%</f>
        <v>9.98</v>
      </c>
      <c r="I319" s="232">
        <f>E319*379%</f>
        <v>37.9</v>
      </c>
      <c r="J319" s="232">
        <v>0</v>
      </c>
      <c r="K319" s="232">
        <v>0</v>
      </c>
      <c r="L319" s="232">
        <v>0</v>
      </c>
      <c r="M319" s="232">
        <f>E319*2%</f>
        <v>0.2</v>
      </c>
      <c r="N319" s="232">
        <v>0</v>
      </c>
      <c r="O319" s="232">
        <v>0</v>
      </c>
      <c r="P319" s="232">
        <f>E319*0.3%</f>
        <v>0.03</v>
      </c>
      <c r="Q319" s="232">
        <v>60</v>
      </c>
      <c r="R319" s="58">
        <f>C319/1000*60</f>
        <v>0.6</v>
      </c>
    </row>
    <row r="320" spans="1:18" s="111" customFormat="1" ht="26.25">
      <c r="A320" s="61"/>
      <c r="B320" s="59" t="s">
        <v>69</v>
      </c>
      <c r="C320" s="59">
        <f>SUM(C318:C319)</f>
        <v>25</v>
      </c>
      <c r="D320" s="59">
        <f t="shared" ref="D320:P320" si="42">SUM(D318:D319)</f>
        <v>0</v>
      </c>
      <c r="E320" s="59">
        <v>150</v>
      </c>
      <c r="F320" s="59">
        <f t="shared" si="42"/>
        <v>0.78</v>
      </c>
      <c r="G320" s="59">
        <f t="shared" si="42"/>
        <v>0</v>
      </c>
      <c r="H320" s="59">
        <f t="shared" si="42"/>
        <v>18.23</v>
      </c>
      <c r="I320" s="59">
        <f t="shared" si="42"/>
        <v>73</v>
      </c>
      <c r="J320" s="59">
        <f t="shared" si="42"/>
        <v>1.4999999999999999E-2</v>
      </c>
      <c r="K320" s="59">
        <f t="shared" si="42"/>
        <v>0.6</v>
      </c>
      <c r="L320" s="59">
        <f t="shared" si="42"/>
        <v>0</v>
      </c>
      <c r="M320" s="59">
        <f t="shared" si="42"/>
        <v>24.2</v>
      </c>
      <c r="N320" s="59">
        <f t="shared" si="42"/>
        <v>21.9</v>
      </c>
      <c r="O320" s="59">
        <f t="shared" si="42"/>
        <v>15.75</v>
      </c>
      <c r="P320" s="59">
        <f t="shared" si="42"/>
        <v>0.51</v>
      </c>
      <c r="Q320" s="59"/>
      <c r="R320" s="231">
        <f>SUM(R318:R319)</f>
        <v>5.85</v>
      </c>
    </row>
    <row r="321" spans="1:18" s="30" customFormat="1" ht="26.25">
      <c r="A321" s="60"/>
      <c r="B321" s="62" t="s">
        <v>136</v>
      </c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4"/>
    </row>
    <row r="322" spans="1:18" s="30" customFormat="1" ht="26.25">
      <c r="A322" s="60"/>
      <c r="B322" s="59" t="s">
        <v>69</v>
      </c>
      <c r="C322" s="59">
        <v>120</v>
      </c>
      <c r="D322" s="59">
        <v>0</v>
      </c>
      <c r="E322" s="59">
        <f>C322-D322</f>
        <v>120</v>
      </c>
      <c r="F322" s="59">
        <f>E322*0.08%</f>
        <v>9.6000000000000002E-2</v>
      </c>
      <c r="G322" s="59">
        <v>0</v>
      </c>
      <c r="H322" s="59">
        <f>E322*9.6%</f>
        <v>11.52</v>
      </c>
      <c r="I322" s="59">
        <f>E322*43%</f>
        <v>51.6</v>
      </c>
      <c r="J322" s="59">
        <f>E322*0.06%</f>
        <v>7.1999999999999995E-2</v>
      </c>
      <c r="K322" s="59">
        <f>E322*10%</f>
        <v>12</v>
      </c>
      <c r="L322" s="59">
        <v>0</v>
      </c>
      <c r="M322" s="59">
        <f>E322*20%</f>
        <v>24</v>
      </c>
      <c r="N322" s="59">
        <f>E322*20%</f>
        <v>24</v>
      </c>
      <c r="O322" s="59">
        <f>E322*9%</f>
        <v>10.799999999999999</v>
      </c>
      <c r="P322" s="59">
        <f>E322*0.5%</f>
        <v>0.6</v>
      </c>
      <c r="Q322" s="59">
        <v>63</v>
      </c>
      <c r="R322" s="59">
        <f>C322/1000*63</f>
        <v>7.56</v>
      </c>
    </row>
    <row r="323" spans="1:18" s="111" customFormat="1" ht="19.5" customHeight="1">
      <c r="A323" s="61"/>
      <c r="B323" s="66" t="s">
        <v>106</v>
      </c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8"/>
    </row>
    <row r="324" spans="1:18" s="111" customFormat="1" ht="27.75" customHeight="1">
      <c r="A324" s="61"/>
      <c r="B324" s="59" t="s">
        <v>69</v>
      </c>
      <c r="C324" s="59">
        <v>3</v>
      </c>
      <c r="D324" s="59">
        <v>0</v>
      </c>
      <c r="E324" s="59">
        <f>C324-D324</f>
        <v>3</v>
      </c>
      <c r="F324" s="59">
        <v>0</v>
      </c>
      <c r="G324" s="59"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20</v>
      </c>
      <c r="R324" s="59">
        <f>C324/1000*20</f>
        <v>0.06</v>
      </c>
    </row>
    <row r="325" spans="1:18" s="111" customFormat="1" ht="21" customHeight="1">
      <c r="A325" s="61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</row>
    <row r="326" spans="1:18" s="111" customFormat="1" ht="21.75" customHeight="1">
      <c r="A326" s="61"/>
      <c r="B326" s="59" t="s">
        <v>69</v>
      </c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>
        <f>R324+R322+R320+R316+R314+R305</f>
        <v>60.984000000000002</v>
      </c>
    </row>
    <row r="327" spans="1:18" s="233" customFormat="1" ht="27" customHeight="1"/>
    <row r="328" spans="1:18" s="233" customFormat="1" ht="27" customHeight="1"/>
    <row r="329" spans="1:18" s="233" customFormat="1" ht="26.25" customHeight="1"/>
    <row r="330" spans="1:18" s="30" customFormat="1" ht="26.25">
      <c r="A330" s="31"/>
      <c r="B330" s="73" t="s">
        <v>0</v>
      </c>
      <c r="C330" s="74" t="s">
        <v>18</v>
      </c>
      <c r="D330" s="75" t="s">
        <v>20</v>
      </c>
      <c r="E330" s="75" t="s">
        <v>19</v>
      </c>
      <c r="F330" s="35" t="s">
        <v>1</v>
      </c>
      <c r="G330" s="35" t="s">
        <v>2</v>
      </c>
      <c r="H330" s="35" t="s">
        <v>3</v>
      </c>
      <c r="I330" s="35" t="s">
        <v>4</v>
      </c>
      <c r="J330" s="76" t="s">
        <v>5</v>
      </c>
      <c r="K330" s="76"/>
      <c r="L330" s="76"/>
      <c r="M330" s="76" t="s">
        <v>6</v>
      </c>
      <c r="N330" s="76"/>
      <c r="O330" s="76"/>
      <c r="P330" s="76"/>
      <c r="Q330" s="35" t="s">
        <v>66</v>
      </c>
      <c r="R330" s="77" t="s">
        <v>115</v>
      </c>
    </row>
    <row r="331" spans="1:18" s="30" customFormat="1" ht="20.25" customHeight="1">
      <c r="A331" s="40"/>
      <c r="B331" s="73"/>
      <c r="C331" s="78"/>
      <c r="D331" s="79"/>
      <c r="E331" s="79"/>
      <c r="F331" s="44"/>
      <c r="G331" s="44"/>
      <c r="H331" s="44"/>
      <c r="I331" s="44"/>
      <c r="J331" s="35" t="s">
        <v>7</v>
      </c>
      <c r="K331" s="34" t="s">
        <v>8</v>
      </c>
      <c r="L331" s="35" t="s">
        <v>9</v>
      </c>
      <c r="M331" s="35" t="s">
        <v>10</v>
      </c>
      <c r="N331" s="35" t="s">
        <v>11</v>
      </c>
      <c r="O331" s="35" t="s">
        <v>12</v>
      </c>
      <c r="P331" s="35" t="s">
        <v>13</v>
      </c>
      <c r="Q331" s="44"/>
      <c r="R331" s="80"/>
    </row>
    <row r="332" spans="1:18" s="30" customFormat="1" ht="21.75" customHeight="1">
      <c r="A332" s="187"/>
      <c r="B332" s="81" t="s">
        <v>107</v>
      </c>
      <c r="C332" s="82"/>
      <c r="D332" s="83"/>
      <c r="E332" s="83"/>
      <c r="F332" s="50"/>
      <c r="G332" s="50"/>
      <c r="H332" s="50"/>
      <c r="I332" s="50"/>
      <c r="J332" s="50"/>
      <c r="K332" s="49"/>
      <c r="L332" s="50"/>
      <c r="M332" s="50"/>
      <c r="N332" s="50"/>
      <c r="O332" s="50"/>
      <c r="P332" s="50"/>
      <c r="Q332" s="50"/>
      <c r="R332" s="84"/>
    </row>
    <row r="333" spans="1:18" s="30" customFormat="1" ht="23.25" customHeight="1">
      <c r="A333" s="52"/>
      <c r="B333" s="85" t="s">
        <v>132</v>
      </c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7"/>
    </row>
    <row r="334" spans="1:18" s="30" customFormat="1" ht="28.5" customHeight="1">
      <c r="A334" s="52"/>
      <c r="B334" s="56" t="s">
        <v>89</v>
      </c>
      <c r="C334" s="57">
        <v>60</v>
      </c>
      <c r="D334" s="57">
        <v>0</v>
      </c>
      <c r="E334" s="57">
        <f>C334-D334</f>
        <v>60</v>
      </c>
      <c r="F334" s="57">
        <f>E334*2.8%</f>
        <v>1.6799999999999997</v>
      </c>
      <c r="G334" s="57">
        <f>E334*3.2%</f>
        <v>1.92</v>
      </c>
      <c r="H334" s="57">
        <f>E334*4.7%</f>
        <v>2.82</v>
      </c>
      <c r="I334" s="57">
        <f>E334*58%</f>
        <v>34.799999999999997</v>
      </c>
      <c r="J334" s="57">
        <f>E334*0.04</f>
        <v>2.4</v>
      </c>
      <c r="K334" s="57">
        <f>E334*1.3%</f>
        <v>0.78</v>
      </c>
      <c r="L334" s="57">
        <f>E334*0.01%</f>
        <v>6.0000000000000001E-3</v>
      </c>
      <c r="M334" s="57">
        <f>E334*120%</f>
        <v>72</v>
      </c>
      <c r="N334" s="57">
        <f>E334*90%</f>
        <v>54</v>
      </c>
      <c r="O334" s="57">
        <f>E334*14%</f>
        <v>8.4</v>
      </c>
      <c r="P334" s="57">
        <f>E334*0.06%</f>
        <v>3.5999999999999997E-2</v>
      </c>
      <c r="Q334" s="57">
        <v>110</v>
      </c>
      <c r="R334" s="58">
        <f>C334/1000*110</f>
        <v>6.6</v>
      </c>
    </row>
    <row r="335" spans="1:18" s="30" customFormat="1" ht="26.25">
      <c r="A335" s="52"/>
      <c r="B335" s="56" t="s">
        <v>24</v>
      </c>
      <c r="C335" s="57">
        <v>46</v>
      </c>
      <c r="D335" s="57">
        <v>0</v>
      </c>
      <c r="E335" s="57">
        <f>SUM(C335:D335)</f>
        <v>46</v>
      </c>
      <c r="F335" s="57">
        <f>E335*7%</f>
        <v>3.22</v>
      </c>
      <c r="G335" s="57">
        <f>E335*1%</f>
        <v>0.46</v>
      </c>
      <c r="H335" s="57">
        <f>E335*71.4%</f>
        <v>32.844000000000001</v>
      </c>
      <c r="I335" s="57">
        <f>E335*330%</f>
        <v>151.79999999999998</v>
      </c>
      <c r="J335" s="57">
        <f>E335*0.08%</f>
        <v>3.6799999999999999E-2</v>
      </c>
      <c r="K335" s="57">
        <v>0</v>
      </c>
      <c r="L335" s="57">
        <v>0</v>
      </c>
      <c r="M335" s="57">
        <f>E335*8%</f>
        <v>3.68</v>
      </c>
      <c r="N335" s="57">
        <f>E335*150%</f>
        <v>69</v>
      </c>
      <c r="O335" s="57">
        <f>E335*50%</f>
        <v>23</v>
      </c>
      <c r="P335" s="57">
        <f>E335*1%</f>
        <v>0.46</v>
      </c>
      <c r="Q335" s="57">
        <v>75</v>
      </c>
      <c r="R335" s="57">
        <f>C335/1000*75</f>
        <v>3.4499999999999997</v>
      </c>
    </row>
    <row r="336" spans="1:18" s="30" customFormat="1" ht="26.25">
      <c r="A336" s="52"/>
      <c r="B336" s="56" t="s">
        <v>22</v>
      </c>
      <c r="C336" s="57">
        <v>15</v>
      </c>
      <c r="D336" s="57">
        <v>0</v>
      </c>
      <c r="E336" s="57">
        <f>C336-D336</f>
        <v>15</v>
      </c>
      <c r="F336" s="57">
        <f>E336*0.5%</f>
        <v>7.4999999999999997E-2</v>
      </c>
      <c r="G336" s="57">
        <f>E336*82.5%</f>
        <v>12.375</v>
      </c>
      <c r="H336" s="57">
        <f>E336*0.8%</f>
        <v>0.12</v>
      </c>
      <c r="I336" s="57">
        <f>E336*748%</f>
        <v>112.2</v>
      </c>
      <c r="J336" s="57">
        <v>0</v>
      </c>
      <c r="K336" s="57">
        <v>0</v>
      </c>
      <c r="L336" s="57">
        <f>E336*0.59%</f>
        <v>8.8499999999999995E-2</v>
      </c>
      <c r="M336" s="57">
        <f>E336*12%</f>
        <v>1.7999999999999998</v>
      </c>
      <c r="N336" s="57">
        <f>E336*19%</f>
        <v>2.85</v>
      </c>
      <c r="O336" s="57">
        <f>E336*0.4%</f>
        <v>0.06</v>
      </c>
      <c r="P336" s="57">
        <f>E336*0.2%</f>
        <v>0.03</v>
      </c>
      <c r="Q336" s="57">
        <v>480</v>
      </c>
      <c r="R336" s="58">
        <f>C336/1000*480</f>
        <v>7.1999999999999993</v>
      </c>
    </row>
    <row r="337" spans="1:18" s="30" customFormat="1" ht="20.25" customHeight="1">
      <c r="A337" s="52"/>
      <c r="B337" s="52" t="s">
        <v>69</v>
      </c>
      <c r="C337" s="59">
        <v>110</v>
      </c>
      <c r="D337" s="59">
        <v>0</v>
      </c>
      <c r="E337" s="59">
        <v>200</v>
      </c>
      <c r="F337" s="59">
        <f t="shared" ref="F337:P337" si="43">SUM(F335:F336)</f>
        <v>3.2950000000000004</v>
      </c>
      <c r="G337" s="59">
        <f t="shared" si="43"/>
        <v>12.835000000000001</v>
      </c>
      <c r="H337" s="59">
        <f t="shared" si="43"/>
        <v>32.963999999999999</v>
      </c>
      <c r="I337" s="59">
        <f t="shared" si="43"/>
        <v>264</v>
      </c>
      <c r="J337" s="59">
        <f t="shared" si="43"/>
        <v>3.6799999999999999E-2</v>
      </c>
      <c r="K337" s="59">
        <f t="shared" si="43"/>
        <v>0</v>
      </c>
      <c r="L337" s="59">
        <f t="shared" si="43"/>
        <v>8.8499999999999995E-2</v>
      </c>
      <c r="M337" s="59">
        <f t="shared" si="43"/>
        <v>5.48</v>
      </c>
      <c r="N337" s="59">
        <f t="shared" si="43"/>
        <v>71.849999999999994</v>
      </c>
      <c r="O337" s="59">
        <f t="shared" si="43"/>
        <v>23.06</v>
      </c>
      <c r="P337" s="59">
        <f t="shared" si="43"/>
        <v>0.49</v>
      </c>
      <c r="Q337" s="59"/>
      <c r="R337" s="59">
        <f>SUM(R334:R336)</f>
        <v>17.25</v>
      </c>
    </row>
    <row r="338" spans="1:18" s="30" customFormat="1" ht="26.25">
      <c r="A338" s="52"/>
      <c r="B338" s="53" t="s">
        <v>131</v>
      </c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9"/>
    </row>
    <row r="339" spans="1:18" s="30" customFormat="1" ht="30" customHeight="1">
      <c r="A339" s="52"/>
      <c r="B339" s="56" t="s">
        <v>89</v>
      </c>
      <c r="C339" s="57">
        <v>60</v>
      </c>
      <c r="D339" s="57">
        <v>0</v>
      </c>
      <c r="E339" s="57">
        <f>C339-D339</f>
        <v>60</v>
      </c>
      <c r="F339" s="57">
        <f>E339*2.8%</f>
        <v>1.6799999999999997</v>
      </c>
      <c r="G339" s="57">
        <f>E339*3.2%</f>
        <v>1.92</v>
      </c>
      <c r="H339" s="57">
        <f>E339*4.7%</f>
        <v>2.82</v>
      </c>
      <c r="I339" s="57">
        <f>E339*58%</f>
        <v>34.799999999999997</v>
      </c>
      <c r="J339" s="57">
        <f>E339*0.04</f>
        <v>2.4</v>
      </c>
      <c r="K339" s="57">
        <f>E339*1.3%</f>
        <v>0.78</v>
      </c>
      <c r="L339" s="57">
        <f>E339*0.01%</f>
        <v>6.0000000000000001E-3</v>
      </c>
      <c r="M339" s="57">
        <f>E339*120%</f>
        <v>72</v>
      </c>
      <c r="N339" s="57">
        <f>E339*90%</f>
        <v>54</v>
      </c>
      <c r="O339" s="57">
        <f>E339*14%</f>
        <v>8.4</v>
      </c>
      <c r="P339" s="57">
        <f>E339*0.06%</f>
        <v>3.5999999999999997E-2</v>
      </c>
      <c r="Q339" s="57">
        <v>110</v>
      </c>
      <c r="R339" s="58">
        <f>C339/1000*110</f>
        <v>6.6</v>
      </c>
    </row>
    <row r="340" spans="1:18" s="30" customFormat="1" ht="26.25">
      <c r="A340" s="52"/>
      <c r="B340" s="57" t="s">
        <v>68</v>
      </c>
      <c r="C340" s="57">
        <v>15</v>
      </c>
      <c r="D340" s="57">
        <v>0</v>
      </c>
      <c r="E340" s="57">
        <f>C340-D340</f>
        <v>15</v>
      </c>
      <c r="F340" s="57">
        <v>0</v>
      </c>
      <c r="G340" s="57">
        <v>0</v>
      </c>
      <c r="H340" s="57">
        <f>E340*99.8%</f>
        <v>14.97</v>
      </c>
      <c r="I340" s="57">
        <f>E340*379%</f>
        <v>56.85</v>
      </c>
      <c r="J340" s="57">
        <v>0</v>
      </c>
      <c r="K340" s="57">
        <v>0</v>
      </c>
      <c r="L340" s="57">
        <v>0</v>
      </c>
      <c r="M340" s="57">
        <f>E340*2%</f>
        <v>0.3</v>
      </c>
      <c r="N340" s="57">
        <v>0</v>
      </c>
      <c r="O340" s="57">
        <v>0</v>
      </c>
      <c r="P340" s="57">
        <f>E340*0.3%</f>
        <v>4.4999999999999998E-2</v>
      </c>
      <c r="Q340" s="57">
        <v>60</v>
      </c>
      <c r="R340" s="57">
        <f>C340/1000*60</f>
        <v>0.89999999999999991</v>
      </c>
    </row>
    <row r="341" spans="1:18" s="30" customFormat="1" ht="21" customHeight="1">
      <c r="A341" s="52"/>
      <c r="B341" s="58" t="s">
        <v>90</v>
      </c>
      <c r="C341" s="58">
        <v>1</v>
      </c>
      <c r="D341" s="58">
        <v>0</v>
      </c>
      <c r="E341" s="58">
        <f>C341-D341</f>
        <v>1</v>
      </c>
      <c r="F341" s="58">
        <f>E341*24.2%</f>
        <v>0.24199999999999999</v>
      </c>
      <c r="G341" s="58">
        <f>E341*17.5%</f>
        <v>0.17499999999999999</v>
      </c>
      <c r="H341" s="58">
        <f>E341*27.9%</f>
        <v>0.27899999999999997</v>
      </c>
      <c r="I341" s="58">
        <f>E341*380%</f>
        <v>3.8</v>
      </c>
      <c r="J341" s="58">
        <f>E341*0.1%</f>
        <v>1E-3</v>
      </c>
      <c r="K341" s="58">
        <v>0</v>
      </c>
      <c r="L341" s="58">
        <f>E341*0.02%</f>
        <v>2.0000000000000001E-4</v>
      </c>
      <c r="M341" s="58">
        <f>E341*55%</f>
        <v>0.55000000000000004</v>
      </c>
      <c r="N341" s="58">
        <f>E341*655%</f>
        <v>6.55</v>
      </c>
      <c r="O341" s="58">
        <f>E341*191%</f>
        <v>1.91</v>
      </c>
      <c r="P341" s="58">
        <f>E341*14.8%</f>
        <v>0.14800000000000002</v>
      </c>
      <c r="Q341" s="58">
        <v>850</v>
      </c>
      <c r="R341" s="58">
        <f>C341/1000*850</f>
        <v>0.85</v>
      </c>
    </row>
    <row r="342" spans="1:18" s="30" customFormat="1" ht="26.25">
      <c r="A342" s="61"/>
      <c r="B342" s="59" t="s">
        <v>69</v>
      </c>
      <c r="C342" s="59">
        <v>115</v>
      </c>
      <c r="D342" s="59">
        <f>SUM(D338:D341)</f>
        <v>0</v>
      </c>
      <c r="E342" s="59">
        <v>150</v>
      </c>
      <c r="F342" s="59">
        <f t="shared" ref="F342:P342" si="44">SUM(F338:F341)</f>
        <v>1.9219999999999997</v>
      </c>
      <c r="G342" s="59">
        <f t="shared" si="44"/>
        <v>2.0949999999999998</v>
      </c>
      <c r="H342" s="59">
        <f t="shared" si="44"/>
        <v>18.068999999999999</v>
      </c>
      <c r="I342" s="59">
        <f t="shared" si="44"/>
        <v>95.45</v>
      </c>
      <c r="J342" s="59">
        <f t="shared" si="44"/>
        <v>2.4009999999999998</v>
      </c>
      <c r="K342" s="59">
        <f t="shared" si="44"/>
        <v>0.78</v>
      </c>
      <c r="L342" s="59">
        <f t="shared" si="44"/>
        <v>6.1999999999999998E-3</v>
      </c>
      <c r="M342" s="59">
        <f t="shared" si="44"/>
        <v>72.849999999999994</v>
      </c>
      <c r="N342" s="59">
        <f t="shared" si="44"/>
        <v>60.55</v>
      </c>
      <c r="O342" s="59">
        <f t="shared" si="44"/>
        <v>10.31</v>
      </c>
      <c r="P342" s="59">
        <f t="shared" si="44"/>
        <v>0.22900000000000001</v>
      </c>
      <c r="Q342" s="59"/>
      <c r="R342" s="59">
        <f>SUM(R339:R341)</f>
        <v>8.35</v>
      </c>
    </row>
    <row r="343" spans="1:18" s="30" customFormat="1" ht="23.25" customHeight="1">
      <c r="A343" s="61"/>
      <c r="B343" s="62" t="s">
        <v>104</v>
      </c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4"/>
    </row>
    <row r="344" spans="1:18" s="30" customFormat="1" ht="26.25">
      <c r="A344" s="61"/>
      <c r="B344" s="59" t="s">
        <v>69</v>
      </c>
      <c r="C344" s="59">
        <v>50</v>
      </c>
      <c r="D344" s="59">
        <v>0</v>
      </c>
      <c r="E344" s="59">
        <v>50</v>
      </c>
      <c r="F344" s="59">
        <f>E344*7.9%</f>
        <v>3.95</v>
      </c>
      <c r="G344" s="59">
        <f>E344*1%</f>
        <v>0.5</v>
      </c>
      <c r="H344" s="59">
        <f>E344*48.1%</f>
        <v>24.05</v>
      </c>
      <c r="I344" s="59">
        <f>E344*239%</f>
        <v>119.5</v>
      </c>
      <c r="J344" s="59">
        <f>E344*0.16%</f>
        <v>0.08</v>
      </c>
      <c r="K344" s="59">
        <v>0</v>
      </c>
      <c r="L344" s="59">
        <v>0</v>
      </c>
      <c r="M344" s="59">
        <f>E344*23%</f>
        <v>11.5</v>
      </c>
      <c r="N344" s="59">
        <f>E344*87%</f>
        <v>43.5</v>
      </c>
      <c r="O344" s="59">
        <f>E344*33%</f>
        <v>16.5</v>
      </c>
      <c r="P344" s="59">
        <f>E344*2%</f>
        <v>1</v>
      </c>
      <c r="Q344" s="59">
        <v>50</v>
      </c>
      <c r="R344" s="59">
        <f>C344/1000*50</f>
        <v>2.5</v>
      </c>
    </row>
    <row r="345" spans="1:18" s="30" customFormat="1" ht="21" customHeight="1">
      <c r="A345" s="61"/>
      <c r="B345" s="62" t="s">
        <v>112</v>
      </c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4"/>
    </row>
    <row r="346" spans="1:18" s="30" customFormat="1" ht="26.25">
      <c r="A346" s="234"/>
      <c r="B346" s="59" t="s">
        <v>69</v>
      </c>
      <c r="C346" s="57">
        <v>50</v>
      </c>
      <c r="D346" s="57">
        <v>0</v>
      </c>
      <c r="E346" s="57">
        <f>C346-D346</f>
        <v>50</v>
      </c>
      <c r="F346" s="57">
        <f>E346*12.5%</f>
        <v>6.25</v>
      </c>
      <c r="G346" s="57">
        <f>E346*11.5%</f>
        <v>5.75</v>
      </c>
      <c r="H346" s="57">
        <f>E346*0.7%</f>
        <v>0.35</v>
      </c>
      <c r="I346" s="57">
        <f>E346*157%</f>
        <v>78.5</v>
      </c>
      <c r="J346" s="57">
        <f>E346*0.07%</f>
        <v>3.5000000000000003E-2</v>
      </c>
      <c r="K346" s="57">
        <f>E346*0%</f>
        <v>0</v>
      </c>
      <c r="L346" s="57">
        <f>E346*0.25%</f>
        <v>0.125</v>
      </c>
      <c r="M346" s="57">
        <f>E346*55%</f>
        <v>27.500000000000004</v>
      </c>
      <c r="N346" s="57">
        <f>E346*192%</f>
        <v>96</v>
      </c>
      <c r="O346" s="57">
        <f>E346*12%</f>
        <v>6</v>
      </c>
      <c r="P346" s="57">
        <f>E346*2.5%</f>
        <v>1.25</v>
      </c>
      <c r="Q346" s="57">
        <v>200</v>
      </c>
      <c r="R346" s="59">
        <f>C346/1000*200</f>
        <v>10</v>
      </c>
    </row>
    <row r="347" spans="1:18" s="30" customFormat="1" ht="21.75" customHeight="1">
      <c r="A347" s="61"/>
      <c r="B347" s="62" t="s">
        <v>111</v>
      </c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4"/>
    </row>
    <row r="348" spans="1:18" s="30" customFormat="1" ht="26.25">
      <c r="A348" s="61"/>
      <c r="B348" s="59" t="s">
        <v>69</v>
      </c>
      <c r="C348" s="59">
        <v>40</v>
      </c>
      <c r="D348" s="59">
        <v>0</v>
      </c>
      <c r="E348" s="59">
        <f>C348-D348</f>
        <v>40</v>
      </c>
      <c r="F348" s="57">
        <f>E348*7.5%</f>
        <v>3</v>
      </c>
      <c r="G348" s="57">
        <f>E348*11.8%</f>
        <v>4.7200000000000006</v>
      </c>
      <c r="H348" s="57">
        <f>E348*74.4%</f>
        <v>29.760000000000005</v>
      </c>
      <c r="I348" s="57">
        <f>E348*436%</f>
        <v>174.4</v>
      </c>
      <c r="J348" s="57">
        <f>E348*0.08%</f>
        <v>3.2000000000000001E-2</v>
      </c>
      <c r="K348" s="57">
        <f>E348*0%</f>
        <v>0</v>
      </c>
      <c r="L348" s="57">
        <f>E348*0%</f>
        <v>0</v>
      </c>
      <c r="M348" s="57">
        <f>E348*29%</f>
        <v>11.6</v>
      </c>
      <c r="N348" s="57">
        <f>E348*90%</f>
        <v>36</v>
      </c>
      <c r="O348" s="57">
        <f>E348*20%</f>
        <v>8</v>
      </c>
      <c r="P348" s="57">
        <f>E348*2.1%</f>
        <v>0.84000000000000008</v>
      </c>
      <c r="Q348" s="57">
        <v>160</v>
      </c>
      <c r="R348" s="59">
        <f>C348/1000*160</f>
        <v>6.4</v>
      </c>
    </row>
    <row r="349" spans="1:18" s="30" customFormat="1" ht="26.25">
      <c r="A349" s="61"/>
      <c r="B349" s="62" t="s">
        <v>101</v>
      </c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4"/>
    </row>
    <row r="350" spans="1:18" s="30" customFormat="1" ht="26.25">
      <c r="A350" s="61"/>
      <c r="B350" s="59" t="s">
        <v>69</v>
      </c>
      <c r="C350" s="59">
        <v>135</v>
      </c>
      <c r="D350" s="59">
        <v>0</v>
      </c>
      <c r="E350" s="59">
        <f>C350-D350</f>
        <v>135</v>
      </c>
      <c r="F350" s="59">
        <f>E350*1.5%</f>
        <v>2.0249999999999999</v>
      </c>
      <c r="G350" s="59">
        <f>E350*0.5%</f>
        <v>0.67500000000000004</v>
      </c>
      <c r="H350" s="59">
        <f>E350*21%</f>
        <v>28.349999999999998</v>
      </c>
      <c r="I350" s="59">
        <f>E350*96%</f>
        <v>129.6</v>
      </c>
      <c r="J350" s="59">
        <v>0</v>
      </c>
      <c r="K350" s="59">
        <v>8.6999999999999993</v>
      </c>
      <c r="L350" s="59">
        <v>3</v>
      </c>
      <c r="M350" s="59">
        <v>5</v>
      </c>
      <c r="N350" s="59">
        <v>22</v>
      </c>
      <c r="O350" s="59">
        <v>27</v>
      </c>
      <c r="P350" s="59">
        <v>0.3</v>
      </c>
      <c r="Q350" s="59">
        <v>122</v>
      </c>
      <c r="R350" s="59">
        <f>C350/1000*122</f>
        <v>16.470000000000002</v>
      </c>
    </row>
    <row r="351" spans="1:18" s="30" customFormat="1" ht="26.25">
      <c r="A351" s="61"/>
      <c r="B351" s="66" t="s">
        <v>102</v>
      </c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8"/>
    </row>
    <row r="352" spans="1:18" s="30" customFormat="1" ht="26.25">
      <c r="A352" s="61"/>
      <c r="B352" s="59" t="s">
        <v>75</v>
      </c>
      <c r="C352" s="69">
        <v>3</v>
      </c>
      <c r="D352" s="59">
        <v>0</v>
      </c>
      <c r="E352" s="69">
        <f>C352-D352</f>
        <v>3</v>
      </c>
      <c r="F352" s="59">
        <v>0</v>
      </c>
      <c r="G352" s="59">
        <v>0</v>
      </c>
      <c r="H352" s="59">
        <v>0</v>
      </c>
      <c r="I352" s="59">
        <v>0</v>
      </c>
      <c r="J352" s="59">
        <v>0</v>
      </c>
      <c r="K352" s="59">
        <v>0</v>
      </c>
      <c r="L352" s="59">
        <v>0</v>
      </c>
      <c r="M352" s="59">
        <v>0</v>
      </c>
      <c r="N352" s="59">
        <v>0</v>
      </c>
      <c r="O352" s="59">
        <v>0</v>
      </c>
      <c r="P352" s="59">
        <v>0</v>
      </c>
      <c r="Q352" s="59">
        <v>20</v>
      </c>
      <c r="R352" s="69">
        <f>C352/1000*20</f>
        <v>0.06</v>
      </c>
    </row>
    <row r="353" spans="1:18" s="30" customFormat="1" ht="26.25">
      <c r="A353" s="90"/>
      <c r="B353" s="59" t="s">
        <v>69</v>
      </c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>
        <f>R352+R350+R348+R346+R344+R342+R337</f>
        <v>61.03</v>
      </c>
    </row>
    <row r="354" spans="1:18" ht="30" customHeight="1">
      <c r="A354" s="19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17"/>
    </row>
    <row r="355" spans="1:18" ht="30" customHeight="1">
      <c r="A355" s="19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17"/>
    </row>
    <row r="356" spans="1:18" ht="23.25">
      <c r="A356" s="19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</row>
    <row r="357" spans="1:18" ht="18.75" customHeight="1">
      <c r="A357" s="19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</row>
    <row r="358" spans="1:18" ht="34.5" customHeight="1">
      <c r="A358" s="19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</row>
    <row r="359" spans="1:18" ht="23.25">
      <c r="A359" s="19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</row>
    <row r="360" spans="1:18" ht="35.25" customHeight="1">
      <c r="A360" s="18"/>
    </row>
    <row r="361" spans="1:18" ht="18.75">
      <c r="A361" s="18"/>
    </row>
    <row r="362" spans="1:18" ht="18.75">
      <c r="A362" s="18"/>
    </row>
    <row r="363" spans="1:18" ht="23.25" customHeight="1">
      <c r="A363" s="19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 ht="23.25">
      <c r="A364" s="19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 ht="23.25">
      <c r="A365" s="19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</sheetData>
  <mergeCells count="325">
    <mergeCell ref="A26:XFD28"/>
    <mergeCell ref="A210:XFD212"/>
    <mergeCell ref="A243:XFD245"/>
    <mergeCell ref="B262:R262"/>
    <mergeCell ref="A270:XFD272"/>
    <mergeCell ref="A296:XFD296"/>
    <mergeCell ref="A327:XFD329"/>
    <mergeCell ref="B73:R73"/>
    <mergeCell ref="B49:R49"/>
    <mergeCell ref="B107:R107"/>
    <mergeCell ref="B171:R171"/>
    <mergeCell ref="B204:R204"/>
    <mergeCell ref="B237:R237"/>
    <mergeCell ref="B264:R264"/>
    <mergeCell ref="B258:R258"/>
    <mergeCell ref="B290:R290"/>
    <mergeCell ref="A147:XFD149"/>
    <mergeCell ref="A113:XFD115"/>
    <mergeCell ref="A83:XFD85"/>
    <mergeCell ref="A59:XFD60"/>
    <mergeCell ref="O274:O275"/>
    <mergeCell ref="P274:P275"/>
    <mergeCell ref="B276:R276"/>
    <mergeCell ref="A280:R280"/>
    <mergeCell ref="B284:R284"/>
    <mergeCell ref="B286:R286"/>
    <mergeCell ref="B292:R292"/>
    <mergeCell ref="A330:A331"/>
    <mergeCell ref="B330:B331"/>
    <mergeCell ref="C330:C332"/>
    <mergeCell ref="D330:D332"/>
    <mergeCell ref="E330:E332"/>
    <mergeCell ref="F330:F332"/>
    <mergeCell ref="G330:G332"/>
    <mergeCell ref="H330:H332"/>
    <mergeCell ref="I330:I332"/>
    <mergeCell ref="J330:L330"/>
    <mergeCell ref="M330:P330"/>
    <mergeCell ref="Q330:Q332"/>
    <mergeCell ref="R330:R332"/>
    <mergeCell ref="J331:J332"/>
    <mergeCell ref="K331:K332"/>
    <mergeCell ref="L331:L332"/>
    <mergeCell ref="B321:R321"/>
    <mergeCell ref="M331:M332"/>
    <mergeCell ref="N331:N332"/>
    <mergeCell ref="O331:O332"/>
    <mergeCell ref="B249:R249"/>
    <mergeCell ref="B253:R253"/>
    <mergeCell ref="B256:R256"/>
    <mergeCell ref="B266:R266"/>
    <mergeCell ref="A273:A274"/>
    <mergeCell ref="B273:B274"/>
    <mergeCell ref="C273:C275"/>
    <mergeCell ref="D273:D275"/>
    <mergeCell ref="E273:E275"/>
    <mergeCell ref="F273:F275"/>
    <mergeCell ref="G273:G275"/>
    <mergeCell ref="H273:H275"/>
    <mergeCell ref="I273:I275"/>
    <mergeCell ref="J273:L273"/>
    <mergeCell ref="M273:P273"/>
    <mergeCell ref="Q273:Q275"/>
    <mergeCell ref="R273:R275"/>
    <mergeCell ref="J274:J275"/>
    <mergeCell ref="K274:K275"/>
    <mergeCell ref="L274:L275"/>
    <mergeCell ref="M274:M275"/>
    <mergeCell ref="N274:N275"/>
    <mergeCell ref="Q246:Q248"/>
    <mergeCell ref="R246:R248"/>
    <mergeCell ref="J247:J248"/>
    <mergeCell ref="K247:K248"/>
    <mergeCell ref="L247:L248"/>
    <mergeCell ref="M247:M248"/>
    <mergeCell ref="N247:N248"/>
    <mergeCell ref="O247:O248"/>
    <mergeCell ref="P247:P248"/>
    <mergeCell ref="O181:O182"/>
    <mergeCell ref="P181:P182"/>
    <mergeCell ref="B183:R183"/>
    <mergeCell ref="B189:R189"/>
    <mergeCell ref="B196:R196"/>
    <mergeCell ref="B198:R198"/>
    <mergeCell ref="B202:R202"/>
    <mergeCell ref="B206:R206"/>
    <mergeCell ref="B157:R157"/>
    <mergeCell ref="B165:R165"/>
    <mergeCell ref="B167:R167"/>
    <mergeCell ref="B173:R173"/>
    <mergeCell ref="A177:R179"/>
    <mergeCell ref="A180:A181"/>
    <mergeCell ref="B180:B181"/>
    <mergeCell ref="C180:C182"/>
    <mergeCell ref="D180:D182"/>
    <mergeCell ref="E180:E182"/>
    <mergeCell ref="F180:F182"/>
    <mergeCell ref="G180:G182"/>
    <mergeCell ref="H180:H182"/>
    <mergeCell ref="I180:I182"/>
    <mergeCell ref="J180:L180"/>
    <mergeCell ref="M180:P180"/>
    <mergeCell ref="Q180:Q182"/>
    <mergeCell ref="R180:R182"/>
    <mergeCell ref="J181:J182"/>
    <mergeCell ref="K181:K182"/>
    <mergeCell ref="L181:L182"/>
    <mergeCell ref="M181:M182"/>
    <mergeCell ref="N181:N182"/>
    <mergeCell ref="B216:R216"/>
    <mergeCell ref="B225:R225"/>
    <mergeCell ref="J214:J215"/>
    <mergeCell ref="K214:K215"/>
    <mergeCell ref="L214:L215"/>
    <mergeCell ref="M214:M215"/>
    <mergeCell ref="N214:N215"/>
    <mergeCell ref="O214:O215"/>
    <mergeCell ref="P214:P215"/>
    <mergeCell ref="B213:B214"/>
    <mergeCell ref="C213:C215"/>
    <mergeCell ref="D213:D215"/>
    <mergeCell ref="E213:E215"/>
    <mergeCell ref="F213:F215"/>
    <mergeCell ref="G213:G215"/>
    <mergeCell ref="H213:H215"/>
    <mergeCell ref="I213:I215"/>
    <mergeCell ref="M150:P150"/>
    <mergeCell ref="Q150:Q152"/>
    <mergeCell ref="R150:R152"/>
    <mergeCell ref="J151:J152"/>
    <mergeCell ref="K151:K152"/>
    <mergeCell ref="L151:L152"/>
    <mergeCell ref="M151:M152"/>
    <mergeCell ref="N151:N152"/>
    <mergeCell ref="O151:O152"/>
    <mergeCell ref="P151:P152"/>
    <mergeCell ref="B150:B151"/>
    <mergeCell ref="C150:C152"/>
    <mergeCell ref="D150:D152"/>
    <mergeCell ref="E150:E152"/>
    <mergeCell ref="F150:F152"/>
    <mergeCell ref="G150:G152"/>
    <mergeCell ref="H150:H152"/>
    <mergeCell ref="I150:I152"/>
    <mergeCell ref="J150:L150"/>
    <mergeCell ref="A64:R64"/>
    <mergeCell ref="B68:R68"/>
    <mergeCell ref="B71:R71"/>
    <mergeCell ref="B77:R77"/>
    <mergeCell ref="B79:R79"/>
    <mergeCell ref="A116:A117"/>
    <mergeCell ref="B116:B117"/>
    <mergeCell ref="C116:C118"/>
    <mergeCell ref="D116:D118"/>
    <mergeCell ref="E116:E118"/>
    <mergeCell ref="F116:F118"/>
    <mergeCell ref="G116:G118"/>
    <mergeCell ref="H116:H118"/>
    <mergeCell ref="I116:I118"/>
    <mergeCell ref="J116:L116"/>
    <mergeCell ref="M116:P116"/>
    <mergeCell ref="Q116:Q118"/>
    <mergeCell ref="R116:R118"/>
    <mergeCell ref="J117:J118"/>
    <mergeCell ref="K117:K118"/>
    <mergeCell ref="L117:L118"/>
    <mergeCell ref="M117:M118"/>
    <mergeCell ref="N117:N118"/>
    <mergeCell ref="M61:P61"/>
    <mergeCell ref="Q61:Q63"/>
    <mergeCell ref="R61:R63"/>
    <mergeCell ref="J62:J63"/>
    <mergeCell ref="K62:K63"/>
    <mergeCell ref="L62:L63"/>
    <mergeCell ref="M62:M63"/>
    <mergeCell ref="N62:N63"/>
    <mergeCell ref="O62:O63"/>
    <mergeCell ref="P62:P63"/>
    <mergeCell ref="B61:B62"/>
    <mergeCell ref="C61:C63"/>
    <mergeCell ref="D61:D63"/>
    <mergeCell ref="E61:E63"/>
    <mergeCell ref="F61:F63"/>
    <mergeCell ref="G61:G63"/>
    <mergeCell ref="H61:H63"/>
    <mergeCell ref="I61:I63"/>
    <mergeCell ref="J61:L61"/>
    <mergeCell ref="Q86:Q88"/>
    <mergeCell ref="Q297:Q299"/>
    <mergeCell ref="R297:R299"/>
    <mergeCell ref="B153:R153"/>
    <mergeCell ref="B231:R231"/>
    <mergeCell ref="M87:M88"/>
    <mergeCell ref="N87:N88"/>
    <mergeCell ref="J87:J88"/>
    <mergeCell ref="B345:R345"/>
    <mergeCell ref="B333:R333"/>
    <mergeCell ref="B338:R338"/>
    <mergeCell ref="B343:R343"/>
    <mergeCell ref="M297:P297"/>
    <mergeCell ref="O117:O118"/>
    <mergeCell ref="P117:P118"/>
    <mergeCell ref="B119:R119"/>
    <mergeCell ref="B126:R126"/>
    <mergeCell ref="B133:R133"/>
    <mergeCell ref="B135:R135"/>
    <mergeCell ref="B139:R139"/>
    <mergeCell ref="B141:R141"/>
    <mergeCell ref="B143:R143"/>
    <mergeCell ref="J213:L213"/>
    <mergeCell ref="B233:R233"/>
    <mergeCell ref="B347:R347"/>
    <mergeCell ref="B349:R349"/>
    <mergeCell ref="B351:R351"/>
    <mergeCell ref="P331:P332"/>
    <mergeCell ref="A1:R1"/>
    <mergeCell ref="O87:O88"/>
    <mergeCell ref="P87:P88"/>
    <mergeCell ref="R86:R88"/>
    <mergeCell ref="B297:B298"/>
    <mergeCell ref="D297:D299"/>
    <mergeCell ref="C298:C299"/>
    <mergeCell ref="E297:E299"/>
    <mergeCell ref="F297:F299"/>
    <mergeCell ref="G297:G299"/>
    <mergeCell ref="H297:H299"/>
    <mergeCell ref="B306:R306"/>
    <mergeCell ref="L87:L88"/>
    <mergeCell ref="B103:R103"/>
    <mergeCell ref="A109:R109"/>
    <mergeCell ref="M298:M299"/>
    <mergeCell ref="N298:N299"/>
    <mergeCell ref="O298:O299"/>
    <mergeCell ref="P298:P299"/>
    <mergeCell ref="J297:L297"/>
    <mergeCell ref="A213:A214"/>
    <mergeCell ref="L298:L299"/>
    <mergeCell ref="A300:R300"/>
    <mergeCell ref="I297:I299"/>
    <mergeCell ref="J298:J299"/>
    <mergeCell ref="K298:K299"/>
    <mergeCell ref="B315:R315"/>
    <mergeCell ref="B317:R317"/>
    <mergeCell ref="B323:R323"/>
    <mergeCell ref="B239:R239"/>
    <mergeCell ref="M213:P213"/>
    <mergeCell ref="Q213:Q215"/>
    <mergeCell ref="R213:R215"/>
    <mergeCell ref="A246:A247"/>
    <mergeCell ref="B246:B247"/>
    <mergeCell ref="C246:C248"/>
    <mergeCell ref="D246:D248"/>
    <mergeCell ref="E246:E248"/>
    <mergeCell ref="F246:F248"/>
    <mergeCell ref="G246:G248"/>
    <mergeCell ref="H246:H248"/>
    <mergeCell ref="I246:I248"/>
    <mergeCell ref="J246:L246"/>
    <mergeCell ref="M246:P246"/>
    <mergeCell ref="A2:A3"/>
    <mergeCell ref="B2:B3"/>
    <mergeCell ref="C2:C4"/>
    <mergeCell ref="D2:D4"/>
    <mergeCell ref="E2:E4"/>
    <mergeCell ref="F2:F4"/>
    <mergeCell ref="G2:G4"/>
    <mergeCell ref="H2:H4"/>
    <mergeCell ref="I2:I4"/>
    <mergeCell ref="J2:L2"/>
    <mergeCell ref="M2:P2"/>
    <mergeCell ref="Q2:Q4"/>
    <mergeCell ref="R2:R4"/>
    <mergeCell ref="J3:J4"/>
    <mergeCell ref="K3:K4"/>
    <mergeCell ref="L3:L4"/>
    <mergeCell ref="M3:M4"/>
    <mergeCell ref="N3:N4"/>
    <mergeCell ref="O3:O4"/>
    <mergeCell ref="P3:P4"/>
    <mergeCell ref="B5:R5"/>
    <mergeCell ref="B9:R9"/>
    <mergeCell ref="B12:R12"/>
    <mergeCell ref="B14:R14"/>
    <mergeCell ref="B18:R18"/>
    <mergeCell ref="B22:R22"/>
    <mergeCell ref="A101:R101"/>
    <mergeCell ref="B93:R93"/>
    <mergeCell ref="B89:R89"/>
    <mergeCell ref="I86:I88"/>
    <mergeCell ref="H86:H88"/>
    <mergeCell ref="G86:G88"/>
    <mergeCell ref="F86:F88"/>
    <mergeCell ref="C86:C88"/>
    <mergeCell ref="E86:E88"/>
    <mergeCell ref="D86:D88"/>
    <mergeCell ref="B86:B87"/>
    <mergeCell ref="A86:A87"/>
    <mergeCell ref="M86:P86"/>
    <mergeCell ref="J86:L86"/>
    <mergeCell ref="K87:K88"/>
    <mergeCell ref="B20:R20"/>
    <mergeCell ref="B29:B30"/>
    <mergeCell ref="C29:C31"/>
    <mergeCell ref="B38:R38"/>
    <mergeCell ref="B47:R47"/>
    <mergeCell ref="B53:R53"/>
    <mergeCell ref="B55:R55"/>
    <mergeCell ref="R29:R31"/>
    <mergeCell ref="J30:J31"/>
    <mergeCell ref="K30:K31"/>
    <mergeCell ref="L30:L31"/>
    <mergeCell ref="M30:M31"/>
    <mergeCell ref="N30:N31"/>
    <mergeCell ref="O30:O31"/>
    <mergeCell ref="P30:P31"/>
    <mergeCell ref="B32:R32"/>
    <mergeCell ref="D29:D31"/>
    <mergeCell ref="E29:E31"/>
    <mergeCell ref="F29:F31"/>
    <mergeCell ref="G29:G31"/>
    <mergeCell ref="H29:H31"/>
    <mergeCell ref="I29:I31"/>
    <mergeCell ref="J29:L29"/>
    <mergeCell ref="M29:P29"/>
    <mergeCell ref="Q29:Q31"/>
  </mergeCells>
  <phoneticPr fontId="8" type="noConversion"/>
  <pageMargins left="0" right="0" top="0" bottom="0" header="0" footer="0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>
      <selection activeCell="X21" sqref="X21"/>
    </sheetView>
  </sheetViews>
  <sheetFormatPr defaultRowHeight="15"/>
  <cols>
    <col min="1" max="1" width="16.28515625" customWidth="1"/>
    <col min="2" max="22" width="6.140625" customWidth="1"/>
    <col min="23" max="23" width="7.140625" customWidth="1"/>
    <col min="24" max="26" width="6.140625" customWidth="1"/>
  </cols>
  <sheetData>
    <row r="1" spans="1:26" ht="15.75" thickBot="1">
      <c r="A1" s="1" t="s">
        <v>27</v>
      </c>
      <c r="B1" s="2">
        <v>358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 t="s">
        <v>28</v>
      </c>
    </row>
    <row r="3" spans="1:26" ht="55.5">
      <c r="A3" s="5" t="s">
        <v>29</v>
      </c>
      <c r="B3" s="6" t="s">
        <v>30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35</v>
      </c>
      <c r="H3" s="6" t="s">
        <v>36</v>
      </c>
      <c r="I3" s="6" t="s">
        <v>37</v>
      </c>
      <c r="J3" s="6" t="s">
        <v>38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43</v>
      </c>
      <c r="P3" s="6" t="s">
        <v>44</v>
      </c>
      <c r="Q3" s="6" t="s">
        <v>45</v>
      </c>
      <c r="R3" s="6" t="s">
        <v>46</v>
      </c>
      <c r="S3" s="6" t="s">
        <v>47</v>
      </c>
      <c r="T3" s="6" t="s">
        <v>48</v>
      </c>
      <c r="U3" s="6" t="s">
        <v>49</v>
      </c>
      <c r="V3" s="6" t="s">
        <v>50</v>
      </c>
      <c r="W3" s="6" t="s">
        <v>51</v>
      </c>
      <c r="X3" s="7" t="s">
        <v>52</v>
      </c>
      <c r="Y3" s="7" t="s">
        <v>53</v>
      </c>
      <c r="Z3" s="7"/>
    </row>
    <row r="4" spans="1:26">
      <c r="A4" s="8" t="s">
        <v>54</v>
      </c>
      <c r="B4" s="9"/>
      <c r="C4" s="9">
        <v>1E-3</v>
      </c>
      <c r="D4" s="9"/>
      <c r="E4" s="9"/>
      <c r="F4" s="9"/>
      <c r="G4" s="9"/>
      <c r="H4" s="9"/>
      <c r="I4" s="9">
        <v>0.05</v>
      </c>
      <c r="J4" s="9"/>
      <c r="K4" s="10"/>
      <c r="L4" s="10">
        <v>8.0000000000000002E-3</v>
      </c>
      <c r="M4" s="10"/>
      <c r="N4" s="10"/>
      <c r="O4" s="10"/>
      <c r="P4" s="10"/>
      <c r="Q4" s="10"/>
      <c r="R4" s="10">
        <v>5.0000000000000001E-3</v>
      </c>
      <c r="S4" s="10"/>
      <c r="T4" s="9"/>
      <c r="U4" s="9"/>
      <c r="V4" s="9"/>
      <c r="W4" s="9"/>
      <c r="X4" s="9"/>
      <c r="Y4" s="9"/>
      <c r="Z4" s="9"/>
    </row>
    <row r="5" spans="1:26">
      <c r="A5" s="8" t="s">
        <v>55</v>
      </c>
      <c r="B5" s="9"/>
      <c r="C5" s="9">
        <v>1E-3</v>
      </c>
      <c r="D5" s="9"/>
      <c r="E5" s="9">
        <v>0.04</v>
      </c>
      <c r="F5" s="9">
        <v>1.4999999999999999E-2</v>
      </c>
      <c r="G5" s="9">
        <v>0.02</v>
      </c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>
        <v>0.01</v>
      </c>
      <c r="T5" s="9"/>
      <c r="U5" s="9"/>
      <c r="V5" s="9"/>
      <c r="W5" s="9"/>
      <c r="X5" s="9"/>
      <c r="Y5" s="9">
        <v>0.03</v>
      </c>
      <c r="Z5" s="9"/>
    </row>
    <row r="6" spans="1:26">
      <c r="A6" s="8" t="s">
        <v>56</v>
      </c>
      <c r="B6" s="9">
        <v>0.05</v>
      </c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9"/>
      <c r="U6" s="9"/>
      <c r="V6" s="9"/>
      <c r="W6" s="9"/>
      <c r="X6" s="9"/>
      <c r="Y6" s="9"/>
      <c r="Z6" s="9"/>
    </row>
    <row r="7" spans="1:26">
      <c r="A7" s="8" t="s">
        <v>57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9">
        <v>1.4999999999999999E-2</v>
      </c>
      <c r="U7" s="9">
        <v>0.01</v>
      </c>
      <c r="V7" s="9"/>
      <c r="W7" s="9"/>
      <c r="X7" s="9"/>
      <c r="Y7" s="9"/>
      <c r="Z7" s="9"/>
    </row>
    <row r="8" spans="1:26">
      <c r="A8" s="8" t="s">
        <v>58</v>
      </c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9"/>
      <c r="U8" s="9"/>
      <c r="V8" s="9"/>
      <c r="W8" s="9">
        <v>0.1</v>
      </c>
      <c r="X8" s="9"/>
      <c r="Y8" s="9"/>
      <c r="Z8" s="9"/>
    </row>
    <row r="9" spans="1:26">
      <c r="A9" s="8" t="s">
        <v>59</v>
      </c>
      <c r="B9" s="9"/>
      <c r="C9" s="9">
        <v>1E-3</v>
      </c>
      <c r="D9" s="9">
        <v>0.1</v>
      </c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9"/>
      <c r="U9" s="9"/>
      <c r="V9" s="9"/>
      <c r="W9" s="9"/>
      <c r="X9" s="9"/>
      <c r="Y9" s="9"/>
      <c r="Z9" s="9"/>
    </row>
    <row r="10" spans="1:26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9" t="s">
        <v>60</v>
      </c>
      <c r="V10" s="9"/>
      <c r="W10" s="9"/>
      <c r="X10" s="9"/>
      <c r="Y10" s="9"/>
      <c r="Z10" s="9"/>
    </row>
    <row r="11" spans="1:26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9"/>
      <c r="U11" s="9"/>
      <c r="V11" s="9"/>
      <c r="W11" s="9"/>
      <c r="X11" s="9"/>
      <c r="Y11" s="9"/>
      <c r="Z11" s="9"/>
    </row>
    <row r="12" spans="1:26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9"/>
      <c r="U12" s="9"/>
      <c r="V12" s="9"/>
      <c r="W12" s="9"/>
      <c r="X12" s="9"/>
      <c r="Y12" s="9"/>
      <c r="Z12" s="9"/>
    </row>
    <row r="13" spans="1:26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9"/>
      <c r="V13" s="9"/>
      <c r="W13" s="9"/>
      <c r="X13" s="9"/>
      <c r="Y13" s="9"/>
      <c r="Z13" s="9"/>
    </row>
    <row r="14" spans="1:26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9"/>
      <c r="Y14" s="9"/>
      <c r="Z14" s="9"/>
    </row>
    <row r="15" spans="1:26">
      <c r="A15" s="8"/>
      <c r="C15" s="9"/>
      <c r="D15" s="9"/>
      <c r="E15" s="9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9"/>
      <c r="Y15" s="9"/>
      <c r="Z15" s="9"/>
    </row>
    <row r="16" spans="1:26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9"/>
      <c r="Y16" s="9"/>
      <c r="Z16" s="9"/>
    </row>
    <row r="17" spans="1:26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9"/>
      <c r="Y17" s="9"/>
      <c r="Z17" s="9"/>
    </row>
    <row r="18" spans="1:26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9"/>
      <c r="Y18" s="9"/>
      <c r="Z18" s="9"/>
    </row>
    <row r="19" spans="1:26">
      <c r="A19" s="8" t="s">
        <v>61</v>
      </c>
      <c r="B19" s="11">
        <f>SUM(B4:B18)</f>
        <v>0.05</v>
      </c>
      <c r="C19" s="11">
        <f t="shared" ref="C19:X19" si="0">SUM(C4:C18)</f>
        <v>3.0000000000000001E-3</v>
      </c>
      <c r="D19" s="11">
        <f t="shared" si="0"/>
        <v>0.1</v>
      </c>
      <c r="E19" s="11">
        <f t="shared" si="0"/>
        <v>0.04</v>
      </c>
      <c r="F19" s="11">
        <f t="shared" si="0"/>
        <v>1.4999999999999999E-2</v>
      </c>
      <c r="G19" s="11">
        <f t="shared" si="0"/>
        <v>0.02</v>
      </c>
      <c r="H19" s="11">
        <f t="shared" si="0"/>
        <v>0</v>
      </c>
      <c r="I19" s="11">
        <f t="shared" si="0"/>
        <v>0.05</v>
      </c>
      <c r="J19" s="11">
        <f t="shared" si="0"/>
        <v>0</v>
      </c>
      <c r="K19" s="11">
        <f t="shared" si="0"/>
        <v>0</v>
      </c>
      <c r="L19" s="11">
        <f t="shared" si="0"/>
        <v>8.0000000000000002E-3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0</v>
      </c>
      <c r="R19" s="11">
        <f t="shared" si="0"/>
        <v>5.0000000000000001E-3</v>
      </c>
      <c r="S19" s="11">
        <f t="shared" si="0"/>
        <v>0.01</v>
      </c>
      <c r="T19" s="11">
        <f t="shared" si="0"/>
        <v>1.4999999999999999E-2</v>
      </c>
      <c r="U19" s="11">
        <f t="shared" si="0"/>
        <v>0.01</v>
      </c>
      <c r="V19" s="11">
        <f t="shared" si="0"/>
        <v>0</v>
      </c>
      <c r="W19" s="11">
        <f t="shared" si="0"/>
        <v>0.1</v>
      </c>
      <c r="X19" s="11">
        <f t="shared" si="0"/>
        <v>0</v>
      </c>
      <c r="Y19" s="11">
        <v>0.04</v>
      </c>
      <c r="Z19" s="11"/>
    </row>
    <row r="20" spans="1:26">
      <c r="A20" s="8" t="s">
        <v>62</v>
      </c>
      <c r="B20" s="12">
        <f>B1*B19</f>
        <v>17.900000000000002</v>
      </c>
      <c r="C20" s="12">
        <f>C19*B1</f>
        <v>1.0740000000000001</v>
      </c>
      <c r="D20" s="12">
        <f>D19*B1</f>
        <v>35.800000000000004</v>
      </c>
      <c r="E20" s="12">
        <f>B1*E19</f>
        <v>14.32</v>
      </c>
      <c r="F20" s="12">
        <f>F19*B1</f>
        <v>5.37</v>
      </c>
      <c r="G20" s="12">
        <f>B1*G19</f>
        <v>7.16</v>
      </c>
      <c r="H20" s="12">
        <f>B1*H19</f>
        <v>0</v>
      </c>
      <c r="I20" s="12">
        <f>B1*I19</f>
        <v>17.900000000000002</v>
      </c>
      <c r="J20" s="12">
        <f>B1*J19</f>
        <v>0</v>
      </c>
      <c r="K20" s="12">
        <f>B1*K19</f>
        <v>0</v>
      </c>
      <c r="L20" s="12">
        <f>B1*L19</f>
        <v>2.8639999999999999</v>
      </c>
      <c r="M20" s="12">
        <f>B1*M19</f>
        <v>0</v>
      </c>
      <c r="N20" s="12">
        <f>B1*N19</f>
        <v>0</v>
      </c>
      <c r="O20" s="12">
        <f>B1*O19</f>
        <v>0</v>
      </c>
      <c r="P20" s="12">
        <f>B1*P19</f>
        <v>0</v>
      </c>
      <c r="Q20" s="12">
        <f>B1*Q19</f>
        <v>0</v>
      </c>
      <c r="R20" s="12">
        <f>B1*R19</f>
        <v>1.79</v>
      </c>
      <c r="S20" s="12">
        <f>B1*S19</f>
        <v>3.58</v>
      </c>
      <c r="T20" s="12">
        <f>B1*T19</f>
        <v>5.37</v>
      </c>
      <c r="U20" s="12">
        <f>B1*U19</f>
        <v>3.58</v>
      </c>
      <c r="V20" s="12">
        <f>B1*V19</f>
        <v>0</v>
      </c>
      <c r="W20" s="12">
        <f>B1*W19</f>
        <v>35.800000000000004</v>
      </c>
      <c r="X20" s="12">
        <f>B11*X19</f>
        <v>0</v>
      </c>
      <c r="Y20" s="12">
        <f>B1*Y19</f>
        <v>14.32</v>
      </c>
      <c r="Z20" s="12"/>
    </row>
    <row r="21" spans="1:26">
      <c r="A21" s="8" t="s">
        <v>63</v>
      </c>
      <c r="B21" s="8">
        <v>50</v>
      </c>
      <c r="C21" s="8">
        <v>20</v>
      </c>
      <c r="D21" s="8">
        <v>240</v>
      </c>
      <c r="E21" s="8">
        <v>60</v>
      </c>
      <c r="F21" s="8">
        <v>40</v>
      </c>
      <c r="G21" s="8">
        <v>60</v>
      </c>
      <c r="H21" s="8">
        <v>30</v>
      </c>
      <c r="I21" s="8">
        <v>60</v>
      </c>
      <c r="J21" s="8">
        <v>55</v>
      </c>
      <c r="K21" s="8">
        <v>60</v>
      </c>
      <c r="L21" s="8">
        <v>270</v>
      </c>
      <c r="M21" s="8">
        <v>80</v>
      </c>
      <c r="N21" s="8">
        <v>500</v>
      </c>
      <c r="O21" s="8">
        <v>500</v>
      </c>
      <c r="P21" s="8">
        <v>80</v>
      </c>
      <c r="Q21" s="8">
        <v>27</v>
      </c>
      <c r="R21" s="8">
        <v>100</v>
      </c>
      <c r="S21" s="8">
        <v>300</v>
      </c>
      <c r="T21" s="8">
        <v>600</v>
      </c>
      <c r="U21" s="8">
        <v>60</v>
      </c>
      <c r="V21" s="8">
        <v>180</v>
      </c>
      <c r="W21" s="8">
        <v>120</v>
      </c>
      <c r="X21" s="8">
        <v>1100</v>
      </c>
      <c r="Y21" s="8">
        <v>60</v>
      </c>
      <c r="Z21" s="8"/>
    </row>
    <row r="22" spans="1:26" ht="15.75" thickBot="1">
      <c r="A22" s="8" t="s">
        <v>64</v>
      </c>
      <c r="B22" s="13">
        <f>B20*B21</f>
        <v>895.00000000000011</v>
      </c>
      <c r="C22" s="13">
        <f t="shared" ref="C22:Y22" si="1">C20*C21</f>
        <v>21.48</v>
      </c>
      <c r="D22" s="13">
        <f t="shared" si="1"/>
        <v>8592.0000000000018</v>
      </c>
      <c r="E22" s="13">
        <f t="shared" si="1"/>
        <v>859.2</v>
      </c>
      <c r="F22" s="13">
        <f t="shared" si="1"/>
        <v>214.8</v>
      </c>
      <c r="G22" s="13">
        <f t="shared" si="1"/>
        <v>429.6</v>
      </c>
      <c r="H22" s="13">
        <f t="shared" si="1"/>
        <v>0</v>
      </c>
      <c r="I22" s="13">
        <f t="shared" si="1"/>
        <v>1074.0000000000002</v>
      </c>
      <c r="J22" s="13">
        <f t="shared" si="1"/>
        <v>0</v>
      </c>
      <c r="K22" s="13">
        <f t="shared" si="1"/>
        <v>0</v>
      </c>
      <c r="L22" s="13">
        <f t="shared" si="1"/>
        <v>773.28</v>
      </c>
      <c r="M22" s="13">
        <f t="shared" si="1"/>
        <v>0</v>
      </c>
      <c r="N22" s="13">
        <f t="shared" si="1"/>
        <v>0</v>
      </c>
      <c r="O22" s="13">
        <f t="shared" si="1"/>
        <v>0</v>
      </c>
      <c r="P22" s="13">
        <f t="shared" si="1"/>
        <v>0</v>
      </c>
      <c r="Q22" s="13">
        <f t="shared" si="1"/>
        <v>0</v>
      </c>
      <c r="R22" s="13">
        <f t="shared" si="1"/>
        <v>179</v>
      </c>
      <c r="S22" s="13">
        <f t="shared" si="1"/>
        <v>1074</v>
      </c>
      <c r="T22" s="13">
        <f t="shared" si="1"/>
        <v>3222</v>
      </c>
      <c r="U22" s="13">
        <f t="shared" si="1"/>
        <v>214.8</v>
      </c>
      <c r="V22" s="13">
        <f t="shared" si="1"/>
        <v>0</v>
      </c>
      <c r="W22" s="13">
        <f t="shared" si="1"/>
        <v>4296.0000000000009</v>
      </c>
      <c r="X22" s="13">
        <f t="shared" si="1"/>
        <v>0</v>
      </c>
      <c r="Y22" s="13">
        <f t="shared" si="1"/>
        <v>859.2</v>
      </c>
      <c r="Z22" s="13"/>
    </row>
    <row r="23" spans="1:26" ht="15.75" thickBot="1">
      <c r="A23" s="3" t="s">
        <v>65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4">
        <f>SUM(B22:X22)/B1</f>
        <v>61.02</v>
      </c>
      <c r="X23" s="15"/>
      <c r="Y23" s="15"/>
      <c r="Z23" s="14"/>
    </row>
    <row r="24" spans="1:2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6"/>
      <c r="X24" s="16"/>
      <c r="Y24" s="4"/>
      <c r="Z24" s="4"/>
    </row>
    <row r="25" spans="1:2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4"/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N13"/>
  <sheetViews>
    <sheetView zoomScaleSheetLayoutView="130" workbookViewId="0">
      <selection activeCell="T21" sqref="T21"/>
    </sheetView>
  </sheetViews>
  <sheetFormatPr defaultRowHeight="15"/>
  <cols>
    <col min="1" max="1" width="5.5703125" customWidth="1"/>
    <col min="2" max="2" width="9.140625" customWidth="1"/>
    <col min="6" max="6" width="12.140625" customWidth="1"/>
    <col min="9" max="9" width="7.140625" customWidth="1"/>
    <col min="10" max="10" width="11.5703125" customWidth="1"/>
  </cols>
  <sheetData>
    <row r="3" spans="2:14" ht="15.75">
      <c r="B3" s="26" t="s">
        <v>98</v>
      </c>
      <c r="C3" s="26"/>
      <c r="D3" s="22"/>
      <c r="E3" s="22"/>
      <c r="F3" s="22"/>
      <c r="G3" s="21"/>
      <c r="H3" s="21"/>
      <c r="I3" s="21"/>
      <c r="J3" s="22"/>
      <c r="K3" s="22"/>
      <c r="L3" s="27" t="s">
        <v>97</v>
      </c>
      <c r="M3" s="27"/>
      <c r="N3" s="27"/>
    </row>
    <row r="4" spans="2:14" ht="15.75">
      <c r="B4" s="25" t="s">
        <v>99</v>
      </c>
      <c r="C4" s="25"/>
      <c r="D4" s="25"/>
      <c r="E4" s="25"/>
      <c r="F4" s="25"/>
      <c r="G4" s="21"/>
      <c r="H4" s="21"/>
      <c r="I4" s="21"/>
      <c r="J4" s="27" t="s">
        <v>141</v>
      </c>
      <c r="K4" s="27"/>
      <c r="L4" s="27"/>
      <c r="M4" s="27"/>
      <c r="N4" s="27"/>
    </row>
    <row r="5" spans="2:14" ht="15.75">
      <c r="B5" s="26" t="s">
        <v>116</v>
      </c>
      <c r="C5" s="26"/>
      <c r="D5" s="26"/>
      <c r="E5" s="26"/>
      <c r="F5" s="26"/>
      <c r="G5" s="21"/>
      <c r="H5" s="21"/>
      <c r="I5" s="21"/>
      <c r="J5" s="28" t="s">
        <v>142</v>
      </c>
      <c r="K5" s="28"/>
      <c r="L5" s="28"/>
      <c r="M5" s="28"/>
      <c r="N5" s="28"/>
    </row>
    <row r="6" spans="2:14" ht="16.5" thickBot="1">
      <c r="B6" s="22" t="s">
        <v>100</v>
      </c>
      <c r="C6" s="23"/>
      <c r="D6" s="23"/>
      <c r="E6" s="22"/>
      <c r="F6" s="22"/>
      <c r="G6" s="21"/>
      <c r="H6" s="21"/>
      <c r="I6" s="21"/>
      <c r="J6" s="22"/>
      <c r="K6" s="23"/>
      <c r="L6" s="23"/>
      <c r="M6" s="27" t="s">
        <v>143</v>
      </c>
      <c r="N6" s="27"/>
    </row>
    <row r="10" spans="2:14">
      <c r="D10" s="24" t="s">
        <v>140</v>
      </c>
      <c r="E10" s="24"/>
      <c r="F10" s="24"/>
      <c r="G10" s="24"/>
      <c r="H10" s="24"/>
      <c r="I10" s="24"/>
      <c r="J10" s="24"/>
      <c r="K10" s="24"/>
      <c r="L10" s="24"/>
    </row>
    <row r="11" spans="2:14">
      <c r="D11" s="24"/>
      <c r="E11" s="24"/>
      <c r="F11" s="24"/>
      <c r="G11" s="24"/>
      <c r="H11" s="24"/>
      <c r="I11" s="24"/>
      <c r="J11" s="24"/>
      <c r="K11" s="24"/>
      <c r="L11" s="24"/>
    </row>
    <row r="12" spans="2:14">
      <c r="D12" s="24"/>
      <c r="E12" s="24"/>
      <c r="F12" s="24"/>
      <c r="G12" s="24"/>
      <c r="H12" s="24"/>
      <c r="I12" s="24"/>
      <c r="J12" s="24"/>
      <c r="K12" s="24"/>
      <c r="L12" s="24"/>
    </row>
    <row r="13" spans="2:14">
      <c r="D13" s="24"/>
      <c r="E13" s="24"/>
      <c r="F13" s="24"/>
      <c r="G13" s="24"/>
      <c r="H13" s="24"/>
      <c r="I13" s="24"/>
      <c r="J13" s="24"/>
      <c r="K13" s="24"/>
      <c r="L13" s="24"/>
    </row>
  </sheetData>
  <mergeCells count="8">
    <mergeCell ref="D10:L13"/>
    <mergeCell ref="B4:F4"/>
    <mergeCell ref="B5:F5"/>
    <mergeCell ref="B3:C3"/>
    <mergeCell ref="M6:N6"/>
    <mergeCell ref="J5:N5"/>
    <mergeCell ref="L3:N3"/>
    <mergeCell ref="J4:N4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Лист2</vt:lpstr>
      <vt:lpstr>титул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2021-09-13T06:40:16Z</dcterms:modified>
</cp:coreProperties>
</file>